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k21\OneDrive - Oak Ridge National Laboratory\EPA Tools\SDCC\"/>
    </mc:Choice>
  </mc:AlternateContent>
  <xr:revisionPtr revIDLastSave="242" documentId="11_F1C18C4605743CF118C21821D0EC81F6627E37A6" xr6:coauthVersionLast="45" xr6:coauthVersionMax="45" xr10:uidLastSave="{42FBCEDF-DD0D-4840-B60F-CE5F0A6CD278}"/>
  <bookViews>
    <workbookView xWindow="-98" yWindow="-98" windowWidth="22695" windowHeight="14595" tabRatio="747" xr2:uid="{00000000-000D-0000-FFFF-FFFF00000000}"/>
  </bookViews>
  <sheets>
    <sheet name="Instructions" sheetId="42" r:id="rId1"/>
    <sheet name="Rad_Spec" sheetId="38" r:id="rId2"/>
    <sheet name="Fsurf" sheetId="41" r:id="rId3"/>
    <sheet name="acf" sheetId="39" r:id="rId4"/>
    <sheet name="pef" sheetId="4" r:id="rId5"/>
    <sheet name="d" sheetId="3" r:id="rId6"/>
    <sheet name="d_res" sheetId="6" r:id="rId7"/>
    <sheet name="d_ind" sheetId="7" r:id="rId8"/>
    <sheet name="d_out" sheetId="8" r:id="rId9"/>
    <sheet name="d_com" sheetId="9" r:id="rId10"/>
    <sheet name="st" sheetId="24" r:id="rId11"/>
    <sheet name="st_res" sheetId="12" r:id="rId12"/>
    <sheet name="st_ind" sheetId="13" r:id="rId13"/>
    <sheet name="st_out" sheetId="14" r:id="rId14"/>
    <sheet name="st_com" sheetId="15" r:id="rId15"/>
    <sheet name="st_res_dose" sheetId="34" r:id="rId16"/>
    <sheet name="st_ind_dose" sheetId="35" r:id="rId17"/>
    <sheet name="st_out_dose" sheetId="36" r:id="rId18"/>
    <sheet name="st_com_dose" sheetId="37" r:id="rId19"/>
  </sheets>
  <externalReferences>
    <externalReference r:id="rId20"/>
  </externalReferences>
  <definedNames>
    <definedName name="_xlnm._FilterDatabase" localSheetId="3" hidden="1">acf!$A$1:$L$30</definedName>
    <definedName name="_xlnm._FilterDatabase" localSheetId="9" hidden="1">d_com!$A$1:$R$76</definedName>
    <definedName name="_xlnm._FilterDatabase" localSheetId="7" hidden="1">d_ind!$A$1:$R$76</definedName>
    <definedName name="_xlnm._FilterDatabase" localSheetId="8" hidden="1">d_out!$A$1:$R$76</definedName>
    <definedName name="_xlnm._FilterDatabase" localSheetId="6" hidden="1">d_res!$A$1:$R$76</definedName>
    <definedName name="_xlnm._FilterDatabase" localSheetId="2" hidden="1">Fsurf!$A$1:$D$30</definedName>
    <definedName name="_xlnm._FilterDatabase" localSheetId="1" hidden="1">Rad_Spec!$A$1:$BG$30</definedName>
    <definedName name="_xlnm._FilterDatabase" localSheetId="14" hidden="1">st_com!$A$1:$H$76</definedName>
    <definedName name="_xlnm._FilterDatabase" localSheetId="18" hidden="1">st_com_dose!$A$1:$I$76</definedName>
    <definedName name="_xlnm._FilterDatabase" localSheetId="12" hidden="1">st_ind!$A$1:$H$76</definedName>
    <definedName name="_xlnm._FilterDatabase" localSheetId="16" hidden="1">st_ind_dose!$A$1:$I$76</definedName>
    <definedName name="_xlnm._FilterDatabase" localSheetId="13" hidden="1">st_out!$A$1:$H$76</definedName>
    <definedName name="_xlnm._FilterDatabase" localSheetId="17" hidden="1">st_out_dose!$A$1:$I$76</definedName>
    <definedName name="_xlnm._FilterDatabase" localSheetId="11" hidden="1">st_res!$A$1:$H$76</definedName>
    <definedName name="_xlnm._FilterDatabase" localSheetId="15" hidden="1">st_res_dose!$A$1:$I$76</definedName>
    <definedName name="A__sc">[1]d!$W$31</definedName>
    <definedName name="A_excav">[1]d!$W$14</definedName>
    <definedName name="a_i">pef!$Q$4</definedName>
    <definedName name="a_p">pef!$N$11</definedName>
    <definedName name="A_R">[1]d!$T$5</definedName>
    <definedName name="A_sc">[1]d!$T$19</definedName>
    <definedName name="A_surf">[1]d!$W$10</definedName>
    <definedName name="A_till">[1]d!$W$23</definedName>
    <definedName name="A_wind">[1]d!$Q$9</definedName>
    <definedName name="Ac">[1]d!$T$15</definedName>
    <definedName name="Ac_doz">[1]d!$W$26</definedName>
    <definedName name="Ac_grade">[1]d!$W$25</definedName>
    <definedName name="As">[1]d!$Q$8</definedName>
    <definedName name="B__sc">[1]d!$W$32</definedName>
    <definedName name="B_doz">[1]d!$W$27</definedName>
    <definedName name="B_grade">[1]d!$W$28</definedName>
    <definedName name="b_i">pef!$Q$5</definedName>
    <definedName name="B_sc">[1]d!$T$20</definedName>
    <definedName name="B_wind">[1]d!$Q$10</definedName>
    <definedName name="C_">[1]d!$B$3</definedName>
    <definedName name="C__sc">[1]d!$W$33</definedName>
    <definedName name="c_p">pef!$N$12</definedName>
    <definedName name="C_sc">[1]d!$T$21</definedName>
    <definedName name="C_wear">pef!$N$9</definedName>
    <definedName name="C_wind">[1]d!$Q$11</definedName>
    <definedName name="d__p">pef!$N$13</definedName>
    <definedName name="d_A">pef!$E$8</definedName>
    <definedName name="d_AAFres_a">d!$E$19</definedName>
    <definedName name="d_AAFres_c">d!$E$18</definedName>
    <definedName name="d_AR">pef!$E$12</definedName>
    <definedName name="d_As">pef!$E$9</definedName>
    <definedName name="d_Asw">pef!$B$9</definedName>
    <definedName name="d_AVK__CA_urban_interstate">pef!$E$22</definedName>
    <definedName name="d_Aw">pef!$B$8</definedName>
    <definedName name="d_B">pef!$E$10</definedName>
    <definedName name="d_Bw">pef!$B$10</definedName>
    <definedName name="d_C">pef!$E$11</definedName>
    <definedName name="d_Cw">pef!$B$11</definedName>
    <definedName name="d_DL">d!$B$2</definedName>
    <definedName name="d_ED">pef!$E$24</definedName>
    <definedName name="d_ED_res">d!$E$4</definedName>
    <definedName name="d_ED_res_a">d!$E$3</definedName>
    <definedName name="d_ED_res_c">d!$E$2</definedName>
    <definedName name="d_ED_w">d!$H$3</definedName>
    <definedName name="d_EF_iw">d!$N$4</definedName>
    <definedName name="d_EF_ow">d!$K$4</definedName>
    <definedName name="d_EF_res">d!$E$7</definedName>
    <definedName name="d_EF_res_a">d!$E$6</definedName>
    <definedName name="d_EF_res_c">d!$E$5</definedName>
    <definedName name="d_EF_w">d!$H$4</definedName>
    <definedName name="d_ET_iw">d!$N$5</definedName>
    <definedName name="d_ET_ow">d!$K$5</definedName>
    <definedName name="d_ET_res_a_h">d!$E$12</definedName>
    <definedName name="d_ET_res_c_h">d!$E$13</definedName>
    <definedName name="d_ET_res_i">d!$E$15</definedName>
    <definedName name="d_ET_res_o">d!$E$14</definedName>
    <definedName name="d_ET_w">d!$H$5</definedName>
    <definedName name="d_excav">[1]d!$W$15</definedName>
    <definedName name="d_Fam">d!$B$4</definedName>
    <definedName name="d_Fd">pef!#REF!</definedName>
    <definedName name="d_Foffset">d!$B$5</definedName>
    <definedName name="d_FQ_iw">d!$N$8</definedName>
    <definedName name="d_FQ_ow">d!$K$8</definedName>
    <definedName name="d_FQ_res_a">d!$E$8</definedName>
    <definedName name="d_FQ_res_c">d!$E$9</definedName>
    <definedName name="d_FQ_w">d!$H$8</definedName>
    <definedName name="d_FTSS_h">d!$B$6</definedName>
    <definedName name="d_GSF_i">d!$B$9</definedName>
    <definedName name="d_GSF_s">d!$B$8</definedName>
    <definedName name="d_HR__w">d!$H$2</definedName>
    <definedName name="d_HR_iw">d!$N$2</definedName>
    <definedName name="d_HR_ow">d!$K$2</definedName>
    <definedName name="d_IFAres_adj">d!$E$22</definedName>
    <definedName name="d_IFD_iw">d!$N$10</definedName>
    <definedName name="d_IFD_ow">d!$K$10</definedName>
    <definedName name="d_IFD_w">d!$H$10</definedName>
    <definedName name="d_IFDres_adj">d!$E$21</definedName>
    <definedName name="d_IRA_iw">d!$N$6</definedName>
    <definedName name="d_IRA_ow">d!$K$6</definedName>
    <definedName name="d_IRA_res_a">d!$E$11</definedName>
    <definedName name="d_IRA_res_c">d!$E$10</definedName>
    <definedName name="d_IRA_w">d!$H$6</definedName>
    <definedName name="d_k">d!$B$3</definedName>
    <definedName name="d_k_pp">pef!$E$18</definedName>
    <definedName name="d_Km__CA_urban_interstate">pef!$E$23</definedName>
    <definedName name="d_LR">pef!$E$13</definedName>
    <definedName name="d_LS">pef!$E$21</definedName>
    <definedName name="d_p">pef!$E$19</definedName>
    <definedName name="d_PEF">pef!$B$2</definedName>
    <definedName name="d_PEFm_pp">pef!$E$2</definedName>
    <definedName name="d_Q_Cm">pef!$E$3</definedName>
    <definedName name="d_SA_iw">d!$N$7</definedName>
    <definedName name="d_SA_ow">d!$K$7</definedName>
    <definedName name="d_SA_res_a">d!$E$16</definedName>
    <definedName name="d_SA_res_c">d!$E$17</definedName>
    <definedName name="d_SA_w">d!$H$7</definedName>
    <definedName name="d_SE">d!$B$7</definedName>
    <definedName name="d_sL">pef!$E$16</definedName>
    <definedName name="d_SLF">d!$B$10</definedName>
    <definedName name="d_T">pef!$E$15</definedName>
    <definedName name="d_tc">pef!#REF!</definedName>
    <definedName name="d_VKT">pef!$E$20</definedName>
    <definedName name="d_W">pef!$E$17</definedName>
    <definedName name="d_WR">pef!$E$14</definedName>
    <definedName name="day_wk">pef!$K$12</definedName>
    <definedName name="distance">[1]d!$T$11</definedName>
    <definedName name="DL">[1]d!$B$2</definedName>
    <definedName name="DW_cw">[1]d!$N$7</definedName>
    <definedName name="ED_com">[1]d!$K$2</definedName>
    <definedName name="ED_con">[1]d!$N$2</definedName>
    <definedName name="ED_ind">[1]d!$E$2</definedName>
    <definedName name="ED_out">[1]d!$H$2</definedName>
    <definedName name="EF_cw">[1]d!$N$6</definedName>
    <definedName name="EF_iw">[1]d!$E$6</definedName>
    <definedName name="EF_ow">[1]d!$H$6</definedName>
    <definedName name="EF_w">[1]d!$K$6</definedName>
    <definedName name="ET_cw_i">[1]d!$N$10</definedName>
    <definedName name="ET_cw_o">[1]d!$N$9</definedName>
    <definedName name="ET_iw_i">[1]d!$E$8</definedName>
    <definedName name="ET_ow_o">[1]d!$H$7</definedName>
    <definedName name="ET_w_i">[1]d!$K$8</definedName>
    <definedName name="ET_w_o">[1]d!$K$7</definedName>
    <definedName name="EW_cw">[1]d!$N$8</definedName>
    <definedName name="F_D">[1]d!$T$8</definedName>
    <definedName name="F_x">[1]d!$Q$5</definedName>
    <definedName name="GSF_a">[1]d!$B$5</definedName>
    <definedName name="IRA_cw">[1]d!$N$4</definedName>
    <definedName name="IRA_iw">[1]d!$E$4</definedName>
    <definedName name="IRA_ow">[1]d!$H$4</definedName>
    <definedName name="IRA_w">[1]d!$K$4</definedName>
    <definedName name="IRS_cw">[1]d!$N$5</definedName>
    <definedName name="IRS_iw">[1]d!$E$5</definedName>
    <definedName name="IRS_ow">[1]d!$H$5</definedName>
    <definedName name="IRS_w">[1]d!$K$5</definedName>
    <definedName name="J__T">[1]d!$W$4</definedName>
    <definedName name="k_decay_iw_state">st!$N$11</definedName>
    <definedName name="k_decay_ow_state">st!$K$11</definedName>
    <definedName name="k_decay_res_state">st!$E$23</definedName>
    <definedName name="k_decay_w_state">st!$H$11</definedName>
    <definedName name="km_trip">pef!$K$9</definedName>
    <definedName name="L_R">[1]d!$T$10</definedName>
    <definedName name="LS">pef!$K$14</definedName>
    <definedName name="M_doz">[1]d!$W$7</definedName>
    <definedName name="M_dry">[1]d!$T$16</definedName>
    <definedName name="M_excav">[1]d!$W$6</definedName>
    <definedName name="M_grade">[1]d!$W$8</definedName>
    <definedName name="M_m_doz">[1]d!$W$19</definedName>
    <definedName name="M_m_excav">[1]d!$W$17</definedName>
    <definedName name="M_pc_wind">[1]d!$W$5</definedName>
    <definedName name="M_till">[1]d!$W$9</definedName>
    <definedName name="N_A_doz">[1]d!$W$29</definedName>
    <definedName name="N_A_dump">[1]d!$W$16</definedName>
    <definedName name="N_A_grade">[1]d!$W$30</definedName>
    <definedName name="N_A_till">[1]d!$W$24</definedName>
    <definedName name="N_cars">[1]d!$T$13</definedName>
    <definedName name="N_trucks">[1]d!$T$14</definedName>
    <definedName name="number_cars">pef!$K$4</definedName>
    <definedName name="number_trucks">pef!$K$6</definedName>
    <definedName name="p_days">[1]d!$T$17</definedName>
    <definedName name="PEF__sc">[1]d!$W$2</definedName>
    <definedName name="PEF_wind">[1]d!$Q$2</definedName>
    <definedName name="PEFsc">[1]d!$T$2</definedName>
    <definedName name="Q_C__sc">[1]d!$W$3</definedName>
    <definedName name="Q_C_sc">[1]d!$T$3</definedName>
    <definedName name="Q_C_wind">[1]d!$Q$7</definedName>
    <definedName name="s">[1]d!$T$18</definedName>
    <definedName name="s_A">pef!$H$4</definedName>
    <definedName name="s_A__sc">[1]ss!$W$31</definedName>
    <definedName name="s_A_excav">[1]ss!$W$14</definedName>
    <definedName name="s_A_R">[1]ss!$T$5</definedName>
    <definedName name="s_A_sc">[1]ss!$T$19</definedName>
    <definedName name="s_A_surf">[1]ss!$W$10</definedName>
    <definedName name="s_A_till">[1]ss!$W$23</definedName>
    <definedName name="s_A_wind">[1]ss!$Q$9</definedName>
    <definedName name="s_Ac">[1]ss!$T$15</definedName>
    <definedName name="s_Ac_doz">[1]ss!$W$26</definedName>
    <definedName name="s_Ac_grade">[1]ss!$W$25</definedName>
    <definedName name="s_AR">pef!$H$8</definedName>
    <definedName name="s_As" localSheetId="0">[1]ss!$Q$8</definedName>
    <definedName name="s_As">pef!$H$5</definedName>
    <definedName name="s_Asw">pef!$B$21</definedName>
    <definedName name="s_AVK__TN_rural_interstate">pef!$H$18</definedName>
    <definedName name="s_Aw">pef!$B$20</definedName>
    <definedName name="s_B">pef!$H$6</definedName>
    <definedName name="s_B__sc">[1]ss!$W$32</definedName>
    <definedName name="s_B_doz">[1]ss!$W$27</definedName>
    <definedName name="s_B_grade">[1]ss!$W$28</definedName>
    <definedName name="s_B_sc">[1]ss!$T$20</definedName>
    <definedName name="s_B_wind">[1]ss!$Q$10</definedName>
    <definedName name="s_Bw">pef!$B$22</definedName>
    <definedName name="s_C" localSheetId="0">[1]ss!$B$3</definedName>
    <definedName name="s_C">pef!$H$7</definedName>
    <definedName name="s_C__sc">[1]ss!$W$33</definedName>
    <definedName name="s_C_sc">[1]ss!$T$21</definedName>
    <definedName name="s_C_wind">[1]ss!$Q$11</definedName>
    <definedName name="s_Cw">pef!$B$23</definedName>
    <definedName name="s_d_excav">[1]ss!$W$15</definedName>
    <definedName name="s_distance">[1]ss!$T$11</definedName>
    <definedName name="s_DL">[1]ss!$B$2</definedName>
    <definedName name="s_doz">[1]d!$W$18</definedName>
    <definedName name="S_doz_speed">[1]d!$W$20</definedName>
    <definedName name="s_DW_cw">[1]ss!$N$7</definedName>
    <definedName name="s_ED">pef!$H$20</definedName>
    <definedName name="s_ED_com">[1]ss!$K$2</definedName>
    <definedName name="s_ED_con">[1]ss!$N$2</definedName>
    <definedName name="s_ED_ind">[1]ss!$E$2</definedName>
    <definedName name="s_ED_out">[1]ss!$H$2</definedName>
    <definedName name="s_EF_cw">[1]ss!$N$6</definedName>
    <definedName name="s_EF_iw">[1]ss!$E$6</definedName>
    <definedName name="s_EF_ow">[1]ss!$H$6</definedName>
    <definedName name="s_EF_w">[1]ss!$K$6</definedName>
    <definedName name="s_ET_cw_i">[1]ss!$N$10</definedName>
    <definedName name="s_ET_cw_o">[1]ss!$N$9</definedName>
    <definedName name="s_ET_iw_i">[1]ss!$E$8</definedName>
    <definedName name="s_ET_iw_o">[1]ss!$E$7</definedName>
    <definedName name="s_ET_ow_i">[1]ss!$H$8</definedName>
    <definedName name="s_ET_ow_o">[1]ss!$H$7</definedName>
    <definedName name="s_ET_w_i">[1]ss!$K$8</definedName>
    <definedName name="s_ET_w_o">[1]ss!$K$7</definedName>
    <definedName name="s_EW_cw">[1]ss!$N$8</definedName>
    <definedName name="s_F_D">[1]ss!$T$8</definedName>
    <definedName name="s_F_x">[1]ss!$Q$5</definedName>
    <definedName name="s_F_x_w">pef!$B$19</definedName>
    <definedName name="s_Fd">pef!#REF!</definedName>
    <definedName name="S_grade">[1]d!$W$21</definedName>
    <definedName name="s_GSF_a">[1]ss!$B$5</definedName>
    <definedName name="s_IRA_cw">[1]ss!$N$4</definedName>
    <definedName name="s_IRA_iw">[1]ss!$E$4</definedName>
    <definedName name="s_IRA_ow">[1]ss!$H$4</definedName>
    <definedName name="s_IRA_w">[1]ss!$K$4</definedName>
    <definedName name="s_IRS_cw">[1]ss!$N$5</definedName>
    <definedName name="s_IRS_iw">[1]ss!$E$5</definedName>
    <definedName name="s_IRS_ow">[1]ss!$H$5</definedName>
    <definedName name="s_IRS_w">[1]ss!$K$5</definedName>
    <definedName name="s_J__T">[1]ss!$W$4</definedName>
    <definedName name="s_k_pp">pef!$H$14</definedName>
    <definedName name="s_k_ui">pef!$Q$3</definedName>
    <definedName name="s_k_up">pef!$N$7</definedName>
    <definedName name="s_Km_TN_rural_interstate">pef!$H$19</definedName>
    <definedName name="s_L_R">[1]ss!$T$10</definedName>
    <definedName name="s_LR">pef!$H$9</definedName>
    <definedName name="s_LS">pef!$H$17</definedName>
    <definedName name="s_M_doz">[1]ss!$W$7</definedName>
    <definedName name="s_M_dry">[1]ss!$T$16</definedName>
    <definedName name="s_M_excav">[1]ss!$W$6</definedName>
    <definedName name="s_M_grade">[1]ss!$W$8</definedName>
    <definedName name="s_M_m_doz">[1]ss!$W$19</definedName>
    <definedName name="s_M_m_excav">[1]ss!$W$17</definedName>
    <definedName name="s_M_moisture">pef!$N$5</definedName>
    <definedName name="s_M_pc_wind">[1]ss!$W$5</definedName>
    <definedName name="s_M_till">[1]ss!$W$9</definedName>
    <definedName name="s_N_A_doz">[1]ss!$W$29</definedName>
    <definedName name="s_N_A_dump">[1]ss!$W$16</definedName>
    <definedName name="s_N_A_grade">[1]ss!$W$30</definedName>
    <definedName name="s_N_A_till">[1]ss!$W$24</definedName>
    <definedName name="s_N_cars">[1]ss!$T$13</definedName>
    <definedName name="s_N_trucks">[1]ss!$T$14</definedName>
    <definedName name="s_p">pef!$H$15</definedName>
    <definedName name="s_p_days">[1]ss!$T$17</definedName>
    <definedName name="s_PEF">pef!$B$14</definedName>
    <definedName name="s_PEF__sc">[1]ss!$W$2</definedName>
    <definedName name="s_PEF_wind">[1]ss!$Q$2</definedName>
    <definedName name="s_PEFm_pp">pef!$K$2</definedName>
    <definedName name="s_PEFm_pp_state">pef!$H$2</definedName>
    <definedName name="s_PEFm_ui">pef!$Q$2</definedName>
    <definedName name="s_PEFm_up">pef!$N$2</definedName>
    <definedName name="s_PEFsc">[1]ss!$T$2</definedName>
    <definedName name="s_Q_C__sc">[1]ss!$W$3</definedName>
    <definedName name="s_Q_C_sc">[1]ss!$T$3</definedName>
    <definedName name="s_Q_C_wind">[1]ss!$Q$7</definedName>
    <definedName name="s_Q_Cm">pef!$H$3</definedName>
    <definedName name="s_Q_Cw">pef!$B$15</definedName>
    <definedName name="s_s">[1]ss!$T$18</definedName>
    <definedName name="s_s_doz">[1]ss!$W$18</definedName>
    <definedName name="s_S_doz_speed">[1]ss!$W$20</definedName>
    <definedName name="s_S_grade">[1]ss!$W$21</definedName>
    <definedName name="s_S_speed">pef!$N$6</definedName>
    <definedName name="s_s_till">[1]ss!$W$22</definedName>
    <definedName name="s_silt">pef!$N$4</definedName>
    <definedName name="s_sL">pef!$H$12</definedName>
    <definedName name="s_T">pef!$H$11</definedName>
    <definedName name="s_t_c">[1]ss!$T$9</definedName>
    <definedName name="s_T_t">[1]ss!$T$4</definedName>
    <definedName name="s_tc">pef!#REF!</definedName>
    <definedName name="s_till">[1]d!$W$22</definedName>
    <definedName name="s_Um">[1]ss!$Q$3</definedName>
    <definedName name="s_Umw">pef!$B$17</definedName>
    <definedName name="s_Ut">[1]ss!$Q$4</definedName>
    <definedName name="s_Utw">pef!$B$18</definedName>
    <definedName name="s_V">[1]ss!$Q$6</definedName>
    <definedName name="s_VKT_up">pef!$N$8</definedName>
    <definedName name="s_VKTm_pp">pef!$K$3</definedName>
    <definedName name="s_VKTm_st">pef!$H$16</definedName>
    <definedName name="s_Vw">pef!$B$16</definedName>
    <definedName name="s_W" localSheetId="0">[1]ss!$T$6</definedName>
    <definedName name="s_W">pef!$H$13</definedName>
    <definedName name="s_W_R">[1]ss!$T$12</definedName>
    <definedName name="s_WR">pef!$H$10</definedName>
    <definedName name="s_ρ_soil">[1]ss!$W$13</definedName>
    <definedName name="s_Σ_VKT">[1]ss!$T$7</definedName>
    <definedName name="s_Σ_VKT_doz">[1]ss!$W$11</definedName>
    <definedName name="s_Σ_VKT_grade">[1]ss!$W$12</definedName>
    <definedName name="ss_ED">pef!$N$10</definedName>
    <definedName name="ss_sL">pef!$K$13</definedName>
    <definedName name="ss_T">pef!$N$3</definedName>
    <definedName name="st_AAFres_a">st!$E$19</definedName>
    <definedName name="st_AAFres_c">st!$E$18</definedName>
    <definedName name="st_DL">st!$B$2</definedName>
    <definedName name="st_ED_iw">st!$N$3</definedName>
    <definedName name="st_ED_ow">st!$K$3</definedName>
    <definedName name="st_ED_res">st!$E$4</definedName>
    <definedName name="st_ED_res_a">st!$E$3</definedName>
    <definedName name="st_ED_res_c">st!$E$2</definedName>
    <definedName name="st_ED_w">st!$H$3</definedName>
    <definedName name="st_EF_iw">st!$N$4</definedName>
    <definedName name="st_EF_ow">st!$K$4</definedName>
    <definedName name="st_EF_res">st!$E$7</definedName>
    <definedName name="st_EF_res_a">st!$E$6</definedName>
    <definedName name="st_EF_res_c">st!$E$5</definedName>
    <definedName name="st_EF_w">st!$H$4</definedName>
    <definedName name="st_ET_iw">st!$N$5</definedName>
    <definedName name="st_ET_ow">st!$K$5</definedName>
    <definedName name="st_ET_res_a_h">st!$E$12</definedName>
    <definedName name="st_ET_res_c_h">st!$E$13</definedName>
    <definedName name="st_ET_res_i">st!$E$15</definedName>
    <definedName name="st_ET_res_o">st!$E$14</definedName>
    <definedName name="st_ET_w">st!$H$5</definedName>
    <definedName name="st_F_cd">st!$B$4</definedName>
    <definedName name="st_Fam">st!$B$4</definedName>
    <definedName name="st_Foffset">st!$B$5</definedName>
    <definedName name="st_FQ_iw">st!$N$8</definedName>
    <definedName name="st_FQ_ow">st!$K$8</definedName>
    <definedName name="st_FQ_res_a">st!$E$8</definedName>
    <definedName name="st_FQ_res_c">st!$E$9</definedName>
    <definedName name="st_FQ_w">st!$H$8</definedName>
    <definedName name="st_FTSS_h">st!$B$6</definedName>
    <definedName name="st_GSF_i">st!$B$9</definedName>
    <definedName name="st_GSF_s">st!$B$8</definedName>
    <definedName name="st_HR__w">st!$H$2</definedName>
    <definedName name="st_HR_iw">st!$N$2</definedName>
    <definedName name="st_HR_ow">st!$K$2</definedName>
    <definedName name="st_IFAres_adj">st!$E$22</definedName>
    <definedName name="st_IFD_iw">st!$N$10</definedName>
    <definedName name="st_IFD_ow">st!$K$10</definedName>
    <definedName name="st_IFD_w">st!$H$10</definedName>
    <definedName name="st_IFDres_adj">st!$E$21</definedName>
    <definedName name="st_IRA_iw">st!$N$6</definedName>
    <definedName name="st_IRA_ow">st!$K$6</definedName>
    <definedName name="st_IRA_res_a">st!$E$11</definedName>
    <definedName name="st_IRA_res_c">st!$E$10</definedName>
    <definedName name="st_IRA_w">st!$H$6</definedName>
    <definedName name="st_k">st!$B$3</definedName>
    <definedName name="st_SA_iw">st!$N$7</definedName>
    <definedName name="st_SA_ow">st!$K$7</definedName>
    <definedName name="st_SA_res_a">st!$E$16</definedName>
    <definedName name="st_SA_res_c">st!$E$17</definedName>
    <definedName name="st_SA_w">st!$H$7</definedName>
    <definedName name="st_SE">st!$B$7</definedName>
    <definedName name="st_SLF">st!$B$10</definedName>
    <definedName name="st_t_com">st!$H$9</definedName>
    <definedName name="st_t_ind">st!$N$9</definedName>
    <definedName name="st_t_out">st!$K$9</definedName>
    <definedName name="st_t_res">st!$E$20</definedName>
    <definedName name="t_c">[1]d!$T$9</definedName>
    <definedName name="t_com">d!$H$9</definedName>
    <definedName name="t_ind">d!$N$9</definedName>
    <definedName name="t_out">d!$K$9</definedName>
    <definedName name="t_res">d!$E$20</definedName>
    <definedName name="T_t">[1]d!$T$4</definedName>
    <definedName name="total_vehic">pef!$K$8</definedName>
    <definedName name="trip_day">pef!$K$10</definedName>
    <definedName name="Um">[1]d!$Q$3</definedName>
    <definedName name="Ut">[1]d!$Q$4</definedName>
    <definedName name="V">[1]d!$Q$6</definedName>
    <definedName name="W">[1]d!$T$6</definedName>
    <definedName name="W_R">[1]d!$T$12</definedName>
    <definedName name="wk_yr">pef!$K$11</definedName>
    <definedName name="ρ_soil">[1]d!$W$13</definedName>
    <definedName name="Σ_VKT">[1]d!$T$7</definedName>
    <definedName name="Σ_VKT_doz">[1]d!$W$11</definedName>
    <definedName name="Σ_VKT_grade">[1]d!$W$12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4" l="1"/>
  <c r="H10" i="24"/>
  <c r="E23" i="24"/>
  <c r="E4" i="24"/>
  <c r="E18" i="24"/>
  <c r="E19" i="24"/>
  <c r="E22" i="24"/>
  <c r="E21" i="24"/>
  <c r="N11" i="24"/>
  <c r="K11" i="24"/>
  <c r="H11" i="24"/>
  <c r="N10" i="24"/>
  <c r="K10" i="24"/>
  <c r="C3" i="13"/>
  <c r="C32" i="13"/>
  <c r="C13" i="13"/>
  <c r="C33" i="13"/>
  <c r="C14" i="13"/>
  <c r="C34" i="13"/>
  <c r="C30" i="13"/>
  <c r="C35" i="13"/>
  <c r="C26" i="13"/>
  <c r="C36" i="13"/>
  <c r="C22" i="13"/>
  <c r="C37" i="13"/>
  <c r="C2" i="13"/>
  <c r="C38" i="13"/>
  <c r="C8" i="13"/>
  <c r="C41" i="13"/>
  <c r="C15" i="13"/>
  <c r="C44" i="13"/>
  <c r="C31" i="13"/>
  <c r="H9" i="4"/>
  <c r="H17" i="4"/>
  <c r="H16" i="4"/>
  <c r="H3" i="4"/>
  <c r="H11" i="4"/>
  <c r="H8" i="4"/>
  <c r="H13" i="4"/>
  <c r="H2" i="4"/>
  <c r="D2" i="12"/>
  <c r="E22" i="4"/>
  <c r="E13" i="4"/>
  <c r="E21" i="4"/>
  <c r="E20" i="4"/>
  <c r="E15" i="4"/>
  <c r="B15" i="4"/>
  <c r="K14" i="4"/>
  <c r="B14" i="4"/>
  <c r="E12" i="4"/>
  <c r="K9" i="4"/>
  <c r="K8" i="4"/>
  <c r="N8" i="4"/>
  <c r="N3" i="4"/>
  <c r="K3" i="4"/>
  <c r="E3" i="4"/>
  <c r="B3" i="4"/>
  <c r="Q2" i="4"/>
  <c r="N2" i="4"/>
  <c r="K2" i="4"/>
  <c r="E2" i="4"/>
  <c r="B2" i="4"/>
  <c r="D2" i="15"/>
  <c r="E2" i="37"/>
  <c r="E4" i="3"/>
  <c r="E18" i="3"/>
  <c r="E19" i="3"/>
  <c r="E22" i="3"/>
  <c r="E21" i="3"/>
  <c r="N10" i="3"/>
  <c r="K10" i="3"/>
  <c r="H10" i="3"/>
  <c r="R30" i="9"/>
  <c r="Q30" i="9"/>
  <c r="P30" i="9"/>
  <c r="O30" i="9"/>
  <c r="N30" i="9"/>
  <c r="M30" i="9"/>
  <c r="L30" i="9"/>
  <c r="K30" i="9"/>
  <c r="J30" i="9"/>
  <c r="I30" i="9"/>
  <c r="C30" i="9"/>
  <c r="D30" i="9"/>
  <c r="F30" i="9"/>
  <c r="H30" i="9"/>
  <c r="E30" i="9"/>
  <c r="G30" i="9"/>
  <c r="R29" i="9"/>
  <c r="Q29" i="9"/>
  <c r="P29" i="9"/>
  <c r="O29" i="9"/>
  <c r="N29" i="9"/>
  <c r="M29" i="9"/>
  <c r="L29" i="9"/>
  <c r="K29" i="9"/>
  <c r="J29" i="9"/>
  <c r="I29" i="9"/>
  <c r="C29" i="9"/>
  <c r="D29" i="9"/>
  <c r="F29" i="9"/>
  <c r="H29" i="9"/>
  <c r="E29" i="9"/>
  <c r="G29" i="9"/>
  <c r="R28" i="9"/>
  <c r="Q28" i="9"/>
  <c r="P28" i="9"/>
  <c r="O28" i="9"/>
  <c r="N28" i="9"/>
  <c r="M28" i="9"/>
  <c r="L28" i="9"/>
  <c r="K28" i="9"/>
  <c r="J28" i="9"/>
  <c r="I28" i="9"/>
  <c r="C28" i="9"/>
  <c r="D28" i="9"/>
  <c r="F28" i="9"/>
  <c r="H28" i="9"/>
  <c r="E28" i="9"/>
  <c r="G28" i="9"/>
  <c r="R27" i="9"/>
  <c r="Q27" i="9"/>
  <c r="P27" i="9"/>
  <c r="O27" i="9"/>
  <c r="N27" i="9"/>
  <c r="M27" i="9"/>
  <c r="L27" i="9"/>
  <c r="K27" i="9"/>
  <c r="J27" i="9"/>
  <c r="I27" i="9"/>
  <c r="C27" i="9"/>
  <c r="D27" i="9"/>
  <c r="F27" i="9"/>
  <c r="H27" i="9"/>
  <c r="E27" i="9"/>
  <c r="G27" i="9"/>
  <c r="R26" i="9"/>
  <c r="Q26" i="9"/>
  <c r="P26" i="9"/>
  <c r="O26" i="9"/>
  <c r="N26" i="9"/>
  <c r="M26" i="9"/>
  <c r="L26" i="9"/>
  <c r="K26" i="9"/>
  <c r="J26" i="9"/>
  <c r="I26" i="9"/>
  <c r="C26" i="9"/>
  <c r="D26" i="9"/>
  <c r="F26" i="9"/>
  <c r="H26" i="9"/>
  <c r="E26" i="9"/>
  <c r="G26" i="9"/>
  <c r="R25" i="9"/>
  <c r="Q25" i="9"/>
  <c r="P25" i="9"/>
  <c r="O25" i="9"/>
  <c r="N25" i="9"/>
  <c r="M25" i="9"/>
  <c r="L25" i="9"/>
  <c r="K25" i="9"/>
  <c r="J25" i="9"/>
  <c r="I25" i="9"/>
  <c r="C25" i="9"/>
  <c r="D25" i="9"/>
  <c r="F25" i="9"/>
  <c r="H25" i="9"/>
  <c r="E25" i="9"/>
  <c r="G25" i="9"/>
  <c r="R24" i="9"/>
  <c r="Q24" i="9"/>
  <c r="P24" i="9"/>
  <c r="O24" i="9"/>
  <c r="N24" i="9"/>
  <c r="M24" i="9"/>
  <c r="L24" i="9"/>
  <c r="K24" i="9"/>
  <c r="J24" i="9"/>
  <c r="I24" i="9"/>
  <c r="C24" i="9"/>
  <c r="D24" i="9"/>
  <c r="F24" i="9"/>
  <c r="H24" i="9"/>
  <c r="E24" i="9"/>
  <c r="G24" i="9"/>
  <c r="R23" i="9"/>
  <c r="Q23" i="9"/>
  <c r="P23" i="9"/>
  <c r="O23" i="9"/>
  <c r="N23" i="9"/>
  <c r="M23" i="9"/>
  <c r="L23" i="9"/>
  <c r="K23" i="9"/>
  <c r="J23" i="9"/>
  <c r="I23" i="9"/>
  <c r="C23" i="9"/>
  <c r="D23" i="9"/>
  <c r="F23" i="9"/>
  <c r="H23" i="9"/>
  <c r="E23" i="9"/>
  <c r="G23" i="9"/>
  <c r="R22" i="9"/>
  <c r="Q22" i="9"/>
  <c r="P22" i="9"/>
  <c r="O22" i="9"/>
  <c r="N22" i="9"/>
  <c r="M22" i="9"/>
  <c r="L22" i="9"/>
  <c r="K22" i="9"/>
  <c r="J22" i="9"/>
  <c r="I22" i="9"/>
  <c r="C22" i="9"/>
  <c r="D22" i="9"/>
  <c r="F22" i="9"/>
  <c r="H22" i="9"/>
  <c r="E22" i="9"/>
  <c r="G22" i="9"/>
  <c r="R21" i="9"/>
  <c r="Q21" i="9"/>
  <c r="P21" i="9"/>
  <c r="O21" i="9"/>
  <c r="N21" i="9"/>
  <c r="M21" i="9"/>
  <c r="L21" i="9"/>
  <c r="K21" i="9"/>
  <c r="J21" i="9"/>
  <c r="I21" i="9"/>
  <c r="C21" i="9"/>
  <c r="D21" i="9"/>
  <c r="F21" i="9"/>
  <c r="H21" i="9"/>
  <c r="E21" i="9"/>
  <c r="G21" i="9"/>
  <c r="R20" i="9"/>
  <c r="Q20" i="9"/>
  <c r="P20" i="9"/>
  <c r="O20" i="9"/>
  <c r="N20" i="9"/>
  <c r="M20" i="9"/>
  <c r="L20" i="9"/>
  <c r="K20" i="9"/>
  <c r="J20" i="9"/>
  <c r="I20" i="9"/>
  <c r="C20" i="9"/>
  <c r="D20" i="9"/>
  <c r="F20" i="9"/>
  <c r="H20" i="9"/>
  <c r="E20" i="9"/>
  <c r="G20" i="9"/>
  <c r="R19" i="9"/>
  <c r="Q19" i="9"/>
  <c r="P19" i="9"/>
  <c r="O19" i="9"/>
  <c r="N19" i="9"/>
  <c r="M19" i="9"/>
  <c r="L19" i="9"/>
  <c r="K19" i="9"/>
  <c r="J19" i="9"/>
  <c r="I19" i="9"/>
  <c r="C19" i="9"/>
  <c r="D19" i="9"/>
  <c r="F19" i="9"/>
  <c r="H19" i="9"/>
  <c r="E19" i="9"/>
  <c r="G19" i="9"/>
  <c r="R18" i="9"/>
  <c r="Q18" i="9"/>
  <c r="P18" i="9"/>
  <c r="O18" i="9"/>
  <c r="N18" i="9"/>
  <c r="M18" i="9"/>
  <c r="L18" i="9"/>
  <c r="K18" i="9"/>
  <c r="J18" i="9"/>
  <c r="I18" i="9"/>
  <c r="C18" i="9"/>
  <c r="D18" i="9"/>
  <c r="F18" i="9"/>
  <c r="H18" i="9"/>
  <c r="E18" i="9"/>
  <c r="G18" i="9"/>
  <c r="R17" i="9"/>
  <c r="Q17" i="9"/>
  <c r="P17" i="9"/>
  <c r="O17" i="9"/>
  <c r="N17" i="9"/>
  <c r="M17" i="9"/>
  <c r="L17" i="9"/>
  <c r="K17" i="9"/>
  <c r="J17" i="9"/>
  <c r="I17" i="9"/>
  <c r="C17" i="9"/>
  <c r="D17" i="9"/>
  <c r="F17" i="9"/>
  <c r="H17" i="9"/>
  <c r="E17" i="9"/>
  <c r="G17" i="9"/>
  <c r="R16" i="9"/>
  <c r="Q16" i="9"/>
  <c r="P16" i="9"/>
  <c r="O16" i="9"/>
  <c r="N16" i="9"/>
  <c r="M16" i="9"/>
  <c r="L16" i="9"/>
  <c r="K16" i="9"/>
  <c r="J16" i="9"/>
  <c r="I16" i="9"/>
  <c r="C16" i="9"/>
  <c r="D16" i="9"/>
  <c r="F16" i="9"/>
  <c r="H16" i="9"/>
  <c r="E16" i="9"/>
  <c r="G16" i="9"/>
  <c r="R15" i="9"/>
  <c r="Q15" i="9"/>
  <c r="P15" i="9"/>
  <c r="O15" i="9"/>
  <c r="N15" i="9"/>
  <c r="M15" i="9"/>
  <c r="L15" i="9"/>
  <c r="K15" i="9"/>
  <c r="J15" i="9"/>
  <c r="I15" i="9"/>
  <c r="C15" i="9"/>
  <c r="D15" i="9"/>
  <c r="F15" i="9"/>
  <c r="H15" i="9"/>
  <c r="E15" i="9"/>
  <c r="G15" i="9"/>
  <c r="R14" i="9"/>
  <c r="Q14" i="9"/>
  <c r="P14" i="9"/>
  <c r="O14" i="9"/>
  <c r="N14" i="9"/>
  <c r="M14" i="9"/>
  <c r="L14" i="9"/>
  <c r="K14" i="9"/>
  <c r="J14" i="9"/>
  <c r="I14" i="9"/>
  <c r="C14" i="9"/>
  <c r="D14" i="9"/>
  <c r="F14" i="9"/>
  <c r="H14" i="9"/>
  <c r="E14" i="9"/>
  <c r="G14" i="9"/>
  <c r="R13" i="9"/>
  <c r="Q13" i="9"/>
  <c r="P13" i="9"/>
  <c r="O13" i="9"/>
  <c r="N13" i="9"/>
  <c r="M13" i="9"/>
  <c r="L13" i="9"/>
  <c r="K13" i="9"/>
  <c r="J13" i="9"/>
  <c r="I13" i="9"/>
  <c r="C13" i="9"/>
  <c r="D13" i="9"/>
  <c r="F13" i="9"/>
  <c r="H13" i="9"/>
  <c r="E13" i="9"/>
  <c r="G13" i="9"/>
  <c r="R12" i="9"/>
  <c r="Q12" i="9"/>
  <c r="P12" i="9"/>
  <c r="O12" i="9"/>
  <c r="N12" i="9"/>
  <c r="M12" i="9"/>
  <c r="L12" i="9"/>
  <c r="K12" i="9"/>
  <c r="J12" i="9"/>
  <c r="I12" i="9"/>
  <c r="C12" i="9"/>
  <c r="D12" i="9"/>
  <c r="F12" i="9"/>
  <c r="H12" i="9"/>
  <c r="E12" i="9"/>
  <c r="G12" i="9"/>
  <c r="R11" i="9"/>
  <c r="Q11" i="9"/>
  <c r="P11" i="9"/>
  <c r="O11" i="9"/>
  <c r="N11" i="9"/>
  <c r="M11" i="9"/>
  <c r="L11" i="9"/>
  <c r="K11" i="9"/>
  <c r="J11" i="9"/>
  <c r="I11" i="9"/>
  <c r="C11" i="9"/>
  <c r="D11" i="9"/>
  <c r="F11" i="9"/>
  <c r="H11" i="9"/>
  <c r="E11" i="9"/>
  <c r="G11" i="9"/>
  <c r="R10" i="9"/>
  <c r="Q10" i="9"/>
  <c r="P10" i="9"/>
  <c r="O10" i="9"/>
  <c r="N10" i="9"/>
  <c r="M10" i="9"/>
  <c r="L10" i="9"/>
  <c r="K10" i="9"/>
  <c r="J10" i="9"/>
  <c r="I10" i="9"/>
  <c r="C10" i="9"/>
  <c r="D10" i="9"/>
  <c r="F10" i="9"/>
  <c r="H10" i="9"/>
  <c r="E10" i="9"/>
  <c r="G10" i="9"/>
  <c r="R9" i="9"/>
  <c r="Q9" i="9"/>
  <c r="P9" i="9"/>
  <c r="O9" i="9"/>
  <c r="N9" i="9"/>
  <c r="M9" i="9"/>
  <c r="L9" i="9"/>
  <c r="K9" i="9"/>
  <c r="J9" i="9"/>
  <c r="I9" i="9"/>
  <c r="C9" i="9"/>
  <c r="D9" i="9"/>
  <c r="F9" i="9"/>
  <c r="H9" i="9"/>
  <c r="E9" i="9"/>
  <c r="G9" i="9"/>
  <c r="R8" i="9"/>
  <c r="Q8" i="9"/>
  <c r="P8" i="9"/>
  <c r="O8" i="9"/>
  <c r="N8" i="9"/>
  <c r="M8" i="9"/>
  <c r="L8" i="9"/>
  <c r="K8" i="9"/>
  <c r="J8" i="9"/>
  <c r="I8" i="9"/>
  <c r="C8" i="9"/>
  <c r="D8" i="9"/>
  <c r="F8" i="9"/>
  <c r="H8" i="9"/>
  <c r="E8" i="9"/>
  <c r="G8" i="9"/>
  <c r="R7" i="9"/>
  <c r="Q7" i="9"/>
  <c r="P7" i="9"/>
  <c r="O7" i="9"/>
  <c r="N7" i="9"/>
  <c r="M7" i="9"/>
  <c r="L7" i="9"/>
  <c r="K7" i="9"/>
  <c r="J7" i="9"/>
  <c r="I7" i="9"/>
  <c r="C7" i="9"/>
  <c r="D7" i="9"/>
  <c r="F7" i="9"/>
  <c r="H7" i="9"/>
  <c r="E7" i="9"/>
  <c r="G7" i="9"/>
  <c r="R6" i="9"/>
  <c r="Q6" i="9"/>
  <c r="P6" i="9"/>
  <c r="O6" i="9"/>
  <c r="N6" i="9"/>
  <c r="M6" i="9"/>
  <c r="L6" i="9"/>
  <c r="K6" i="9"/>
  <c r="J6" i="9"/>
  <c r="I6" i="9"/>
  <c r="C6" i="9"/>
  <c r="D6" i="9"/>
  <c r="F6" i="9"/>
  <c r="H6" i="9"/>
  <c r="E6" i="9"/>
  <c r="G6" i="9"/>
  <c r="R5" i="9"/>
  <c r="Q5" i="9"/>
  <c r="P5" i="9"/>
  <c r="O5" i="9"/>
  <c r="N5" i="9"/>
  <c r="M5" i="9"/>
  <c r="L5" i="9"/>
  <c r="K5" i="9"/>
  <c r="J5" i="9"/>
  <c r="I5" i="9"/>
  <c r="C5" i="9"/>
  <c r="D5" i="9"/>
  <c r="F5" i="9"/>
  <c r="H5" i="9"/>
  <c r="E5" i="9"/>
  <c r="G5" i="9"/>
  <c r="R4" i="9"/>
  <c r="Q4" i="9"/>
  <c r="P4" i="9"/>
  <c r="O4" i="9"/>
  <c r="N4" i="9"/>
  <c r="M4" i="9"/>
  <c r="L4" i="9"/>
  <c r="K4" i="9"/>
  <c r="J4" i="9"/>
  <c r="I4" i="9"/>
  <c r="C4" i="9"/>
  <c r="D4" i="9"/>
  <c r="F4" i="9"/>
  <c r="H4" i="9"/>
  <c r="E4" i="9"/>
  <c r="G4" i="9"/>
  <c r="R2" i="9"/>
  <c r="Q2" i="9"/>
  <c r="P2" i="9"/>
  <c r="O2" i="9"/>
  <c r="N2" i="9"/>
  <c r="M2" i="9"/>
  <c r="L2" i="9"/>
  <c r="K2" i="9"/>
  <c r="J2" i="9"/>
  <c r="I2" i="9"/>
  <c r="C2" i="9"/>
  <c r="D2" i="9"/>
  <c r="F2" i="9"/>
  <c r="H2" i="9"/>
  <c r="E2" i="9"/>
  <c r="G2" i="9"/>
  <c r="R30" i="8"/>
  <c r="Q30" i="8"/>
  <c r="P30" i="8"/>
  <c r="O30" i="8"/>
  <c r="N30" i="8"/>
  <c r="M30" i="8"/>
  <c r="L30" i="8"/>
  <c r="K30" i="8"/>
  <c r="J30" i="8"/>
  <c r="I30" i="8"/>
  <c r="C30" i="8"/>
  <c r="D30" i="8"/>
  <c r="F30" i="8"/>
  <c r="H30" i="8"/>
  <c r="E30" i="8"/>
  <c r="G30" i="8"/>
  <c r="R29" i="8"/>
  <c r="Q29" i="8"/>
  <c r="P29" i="8"/>
  <c r="O29" i="8"/>
  <c r="N29" i="8"/>
  <c r="M29" i="8"/>
  <c r="L29" i="8"/>
  <c r="K29" i="8"/>
  <c r="J29" i="8"/>
  <c r="I29" i="8"/>
  <c r="C29" i="8"/>
  <c r="D29" i="8"/>
  <c r="F29" i="8"/>
  <c r="H29" i="8"/>
  <c r="E29" i="8"/>
  <c r="G29" i="8"/>
  <c r="R28" i="8"/>
  <c r="Q28" i="8"/>
  <c r="P28" i="8"/>
  <c r="O28" i="8"/>
  <c r="N28" i="8"/>
  <c r="M28" i="8"/>
  <c r="L28" i="8"/>
  <c r="K28" i="8"/>
  <c r="J28" i="8"/>
  <c r="I28" i="8"/>
  <c r="C28" i="8"/>
  <c r="D28" i="8"/>
  <c r="F28" i="8"/>
  <c r="H28" i="8"/>
  <c r="E28" i="8"/>
  <c r="G28" i="8"/>
  <c r="R27" i="8"/>
  <c r="Q27" i="8"/>
  <c r="P27" i="8"/>
  <c r="O27" i="8"/>
  <c r="N27" i="8"/>
  <c r="M27" i="8"/>
  <c r="L27" i="8"/>
  <c r="K27" i="8"/>
  <c r="J27" i="8"/>
  <c r="I27" i="8"/>
  <c r="C27" i="8"/>
  <c r="D27" i="8"/>
  <c r="F27" i="8"/>
  <c r="H27" i="8"/>
  <c r="E27" i="8"/>
  <c r="G27" i="8"/>
  <c r="R26" i="8"/>
  <c r="Q26" i="8"/>
  <c r="P26" i="8"/>
  <c r="O26" i="8"/>
  <c r="N26" i="8"/>
  <c r="M26" i="8"/>
  <c r="L26" i="8"/>
  <c r="K26" i="8"/>
  <c r="J26" i="8"/>
  <c r="I26" i="8"/>
  <c r="C26" i="8"/>
  <c r="D26" i="8"/>
  <c r="F26" i="8"/>
  <c r="H26" i="8"/>
  <c r="E26" i="8"/>
  <c r="G26" i="8"/>
  <c r="R25" i="8"/>
  <c r="Q25" i="8"/>
  <c r="P25" i="8"/>
  <c r="O25" i="8"/>
  <c r="N25" i="8"/>
  <c r="M25" i="8"/>
  <c r="L25" i="8"/>
  <c r="K25" i="8"/>
  <c r="J25" i="8"/>
  <c r="I25" i="8"/>
  <c r="C25" i="8"/>
  <c r="D25" i="8"/>
  <c r="F25" i="8"/>
  <c r="H25" i="8"/>
  <c r="E25" i="8"/>
  <c r="G25" i="8"/>
  <c r="R24" i="8"/>
  <c r="Q24" i="8"/>
  <c r="P24" i="8"/>
  <c r="O24" i="8"/>
  <c r="N24" i="8"/>
  <c r="M24" i="8"/>
  <c r="L24" i="8"/>
  <c r="K24" i="8"/>
  <c r="J24" i="8"/>
  <c r="I24" i="8"/>
  <c r="C24" i="8"/>
  <c r="D24" i="8"/>
  <c r="F24" i="8"/>
  <c r="H24" i="8"/>
  <c r="E24" i="8"/>
  <c r="G24" i="8"/>
  <c r="R23" i="8"/>
  <c r="Q23" i="8"/>
  <c r="P23" i="8"/>
  <c r="O23" i="8"/>
  <c r="N23" i="8"/>
  <c r="M23" i="8"/>
  <c r="L23" i="8"/>
  <c r="K23" i="8"/>
  <c r="J23" i="8"/>
  <c r="I23" i="8"/>
  <c r="C23" i="8"/>
  <c r="D23" i="8"/>
  <c r="F23" i="8"/>
  <c r="H23" i="8"/>
  <c r="E23" i="8"/>
  <c r="G23" i="8"/>
  <c r="R22" i="8"/>
  <c r="Q22" i="8"/>
  <c r="P22" i="8"/>
  <c r="O22" i="8"/>
  <c r="N22" i="8"/>
  <c r="M22" i="8"/>
  <c r="L22" i="8"/>
  <c r="K22" i="8"/>
  <c r="J22" i="8"/>
  <c r="I22" i="8"/>
  <c r="C22" i="8"/>
  <c r="D22" i="8"/>
  <c r="F22" i="8"/>
  <c r="H22" i="8"/>
  <c r="E22" i="8"/>
  <c r="G22" i="8"/>
  <c r="R21" i="8"/>
  <c r="Q21" i="8"/>
  <c r="P21" i="8"/>
  <c r="O21" i="8"/>
  <c r="N21" i="8"/>
  <c r="M21" i="8"/>
  <c r="L21" i="8"/>
  <c r="K21" i="8"/>
  <c r="J21" i="8"/>
  <c r="I21" i="8"/>
  <c r="C21" i="8"/>
  <c r="D21" i="8"/>
  <c r="F21" i="8"/>
  <c r="H21" i="8"/>
  <c r="E21" i="8"/>
  <c r="G21" i="8"/>
  <c r="R20" i="8"/>
  <c r="Q20" i="8"/>
  <c r="P20" i="8"/>
  <c r="O20" i="8"/>
  <c r="N20" i="8"/>
  <c r="M20" i="8"/>
  <c r="L20" i="8"/>
  <c r="K20" i="8"/>
  <c r="J20" i="8"/>
  <c r="I20" i="8"/>
  <c r="C20" i="8"/>
  <c r="D20" i="8"/>
  <c r="F20" i="8"/>
  <c r="H20" i="8"/>
  <c r="E20" i="8"/>
  <c r="G20" i="8"/>
  <c r="R19" i="8"/>
  <c r="Q19" i="8"/>
  <c r="P19" i="8"/>
  <c r="O19" i="8"/>
  <c r="N19" i="8"/>
  <c r="M19" i="8"/>
  <c r="L19" i="8"/>
  <c r="K19" i="8"/>
  <c r="J19" i="8"/>
  <c r="I19" i="8"/>
  <c r="C19" i="8"/>
  <c r="D19" i="8"/>
  <c r="F19" i="8"/>
  <c r="H19" i="8"/>
  <c r="E19" i="8"/>
  <c r="G19" i="8"/>
  <c r="R18" i="8"/>
  <c r="Q18" i="8"/>
  <c r="P18" i="8"/>
  <c r="O18" i="8"/>
  <c r="N18" i="8"/>
  <c r="M18" i="8"/>
  <c r="L18" i="8"/>
  <c r="K18" i="8"/>
  <c r="J18" i="8"/>
  <c r="I18" i="8"/>
  <c r="C18" i="8"/>
  <c r="D18" i="8"/>
  <c r="F18" i="8"/>
  <c r="H18" i="8"/>
  <c r="E18" i="8"/>
  <c r="G18" i="8"/>
  <c r="R17" i="8"/>
  <c r="Q17" i="8"/>
  <c r="P17" i="8"/>
  <c r="O17" i="8"/>
  <c r="N17" i="8"/>
  <c r="M17" i="8"/>
  <c r="L17" i="8"/>
  <c r="K17" i="8"/>
  <c r="J17" i="8"/>
  <c r="I17" i="8"/>
  <c r="C17" i="8"/>
  <c r="D17" i="8"/>
  <c r="F17" i="8"/>
  <c r="H17" i="8"/>
  <c r="E17" i="8"/>
  <c r="G17" i="8"/>
  <c r="R16" i="8"/>
  <c r="Q16" i="8"/>
  <c r="P16" i="8"/>
  <c r="O16" i="8"/>
  <c r="N16" i="8"/>
  <c r="M16" i="8"/>
  <c r="L16" i="8"/>
  <c r="K16" i="8"/>
  <c r="J16" i="8"/>
  <c r="I16" i="8"/>
  <c r="C16" i="8"/>
  <c r="D16" i="8"/>
  <c r="F16" i="8"/>
  <c r="H16" i="8"/>
  <c r="E16" i="8"/>
  <c r="G16" i="8"/>
  <c r="R15" i="8"/>
  <c r="Q15" i="8"/>
  <c r="P15" i="8"/>
  <c r="O15" i="8"/>
  <c r="N15" i="8"/>
  <c r="M15" i="8"/>
  <c r="L15" i="8"/>
  <c r="K15" i="8"/>
  <c r="J15" i="8"/>
  <c r="I15" i="8"/>
  <c r="C15" i="8"/>
  <c r="D15" i="8"/>
  <c r="F15" i="8"/>
  <c r="H15" i="8"/>
  <c r="E15" i="8"/>
  <c r="G15" i="8"/>
  <c r="R14" i="8"/>
  <c r="Q14" i="8"/>
  <c r="P14" i="8"/>
  <c r="O14" i="8"/>
  <c r="N14" i="8"/>
  <c r="M14" i="8"/>
  <c r="L14" i="8"/>
  <c r="K14" i="8"/>
  <c r="J14" i="8"/>
  <c r="I14" i="8"/>
  <c r="C14" i="8"/>
  <c r="D14" i="8"/>
  <c r="F14" i="8"/>
  <c r="H14" i="8"/>
  <c r="E14" i="8"/>
  <c r="G14" i="8"/>
  <c r="R13" i="8"/>
  <c r="Q13" i="8"/>
  <c r="P13" i="8"/>
  <c r="O13" i="8"/>
  <c r="N13" i="8"/>
  <c r="M13" i="8"/>
  <c r="L13" i="8"/>
  <c r="K13" i="8"/>
  <c r="J13" i="8"/>
  <c r="I13" i="8"/>
  <c r="C13" i="8"/>
  <c r="D13" i="8"/>
  <c r="F13" i="8"/>
  <c r="H13" i="8"/>
  <c r="E13" i="8"/>
  <c r="G13" i="8"/>
  <c r="R12" i="8"/>
  <c r="Q12" i="8"/>
  <c r="P12" i="8"/>
  <c r="O12" i="8"/>
  <c r="N12" i="8"/>
  <c r="M12" i="8"/>
  <c r="L12" i="8"/>
  <c r="K12" i="8"/>
  <c r="J12" i="8"/>
  <c r="I12" i="8"/>
  <c r="C12" i="8"/>
  <c r="D12" i="8"/>
  <c r="F12" i="8"/>
  <c r="H12" i="8"/>
  <c r="E12" i="8"/>
  <c r="G12" i="8"/>
  <c r="R11" i="8"/>
  <c r="Q11" i="8"/>
  <c r="P11" i="8"/>
  <c r="O11" i="8"/>
  <c r="N11" i="8"/>
  <c r="M11" i="8"/>
  <c r="L11" i="8"/>
  <c r="K11" i="8"/>
  <c r="J11" i="8"/>
  <c r="I11" i="8"/>
  <c r="C11" i="8"/>
  <c r="D11" i="8"/>
  <c r="F11" i="8"/>
  <c r="H11" i="8"/>
  <c r="E11" i="8"/>
  <c r="G11" i="8"/>
  <c r="R10" i="8"/>
  <c r="Q10" i="8"/>
  <c r="P10" i="8"/>
  <c r="O10" i="8"/>
  <c r="N10" i="8"/>
  <c r="M10" i="8"/>
  <c r="L10" i="8"/>
  <c r="K10" i="8"/>
  <c r="J10" i="8"/>
  <c r="I10" i="8"/>
  <c r="C10" i="8"/>
  <c r="D10" i="8"/>
  <c r="F10" i="8"/>
  <c r="H10" i="8"/>
  <c r="E10" i="8"/>
  <c r="G10" i="8"/>
  <c r="R9" i="8"/>
  <c r="Q9" i="8"/>
  <c r="P9" i="8"/>
  <c r="O9" i="8"/>
  <c r="N9" i="8"/>
  <c r="M9" i="8"/>
  <c r="L9" i="8"/>
  <c r="K9" i="8"/>
  <c r="J9" i="8"/>
  <c r="I9" i="8"/>
  <c r="C9" i="8"/>
  <c r="D9" i="8"/>
  <c r="F9" i="8"/>
  <c r="H9" i="8"/>
  <c r="E9" i="8"/>
  <c r="G9" i="8"/>
  <c r="R8" i="8"/>
  <c r="Q8" i="8"/>
  <c r="P8" i="8"/>
  <c r="O8" i="8"/>
  <c r="N8" i="8"/>
  <c r="M8" i="8"/>
  <c r="L8" i="8"/>
  <c r="K8" i="8"/>
  <c r="J8" i="8"/>
  <c r="I8" i="8"/>
  <c r="C8" i="8"/>
  <c r="D8" i="8"/>
  <c r="F8" i="8"/>
  <c r="H8" i="8"/>
  <c r="E8" i="8"/>
  <c r="G8" i="8"/>
  <c r="R7" i="8"/>
  <c r="Q7" i="8"/>
  <c r="P7" i="8"/>
  <c r="O7" i="8"/>
  <c r="N7" i="8"/>
  <c r="M7" i="8"/>
  <c r="L7" i="8"/>
  <c r="K7" i="8"/>
  <c r="J7" i="8"/>
  <c r="I7" i="8"/>
  <c r="C7" i="8"/>
  <c r="D7" i="8"/>
  <c r="F7" i="8"/>
  <c r="H7" i="8"/>
  <c r="E7" i="8"/>
  <c r="G7" i="8"/>
  <c r="R6" i="8"/>
  <c r="Q6" i="8"/>
  <c r="P6" i="8"/>
  <c r="O6" i="8"/>
  <c r="N6" i="8"/>
  <c r="M6" i="8"/>
  <c r="L6" i="8"/>
  <c r="K6" i="8"/>
  <c r="J6" i="8"/>
  <c r="I6" i="8"/>
  <c r="C6" i="8"/>
  <c r="D6" i="8"/>
  <c r="F6" i="8"/>
  <c r="H6" i="8"/>
  <c r="E6" i="8"/>
  <c r="G6" i="8"/>
  <c r="R5" i="8"/>
  <c r="Q5" i="8"/>
  <c r="P5" i="8"/>
  <c r="O5" i="8"/>
  <c r="N5" i="8"/>
  <c r="M5" i="8"/>
  <c r="L5" i="8"/>
  <c r="K5" i="8"/>
  <c r="J5" i="8"/>
  <c r="I5" i="8"/>
  <c r="C5" i="8"/>
  <c r="D5" i="8"/>
  <c r="F5" i="8"/>
  <c r="H5" i="8"/>
  <c r="E5" i="8"/>
  <c r="G5" i="8"/>
  <c r="R4" i="8"/>
  <c r="Q4" i="8"/>
  <c r="P4" i="8"/>
  <c r="O4" i="8"/>
  <c r="N4" i="8"/>
  <c r="M4" i="8"/>
  <c r="L4" i="8"/>
  <c r="K4" i="8"/>
  <c r="J4" i="8"/>
  <c r="I4" i="8"/>
  <c r="C4" i="8"/>
  <c r="D4" i="8"/>
  <c r="F4" i="8"/>
  <c r="H4" i="8"/>
  <c r="E4" i="8"/>
  <c r="G4" i="8"/>
  <c r="R2" i="8"/>
  <c r="Q2" i="8"/>
  <c r="P2" i="8"/>
  <c r="O2" i="8"/>
  <c r="N2" i="8"/>
  <c r="M2" i="8"/>
  <c r="L2" i="8"/>
  <c r="K2" i="8"/>
  <c r="J2" i="8"/>
  <c r="I2" i="8"/>
  <c r="C2" i="8"/>
  <c r="D2" i="8"/>
  <c r="F2" i="8"/>
  <c r="H2" i="8"/>
  <c r="E2" i="8"/>
  <c r="G2" i="8"/>
  <c r="R30" i="7"/>
  <c r="Q30" i="7"/>
  <c r="P30" i="7"/>
  <c r="O30" i="7"/>
  <c r="N30" i="7"/>
  <c r="M30" i="7"/>
  <c r="L30" i="7"/>
  <c r="K30" i="7"/>
  <c r="J30" i="7"/>
  <c r="I30" i="7"/>
  <c r="C30" i="7"/>
  <c r="D30" i="7"/>
  <c r="F30" i="7"/>
  <c r="H30" i="7"/>
  <c r="E30" i="7"/>
  <c r="G30" i="7"/>
  <c r="R29" i="7"/>
  <c r="Q29" i="7"/>
  <c r="P29" i="7"/>
  <c r="O29" i="7"/>
  <c r="N29" i="7"/>
  <c r="M29" i="7"/>
  <c r="L29" i="7"/>
  <c r="K29" i="7"/>
  <c r="J29" i="7"/>
  <c r="I29" i="7"/>
  <c r="C29" i="7"/>
  <c r="D29" i="7"/>
  <c r="F29" i="7"/>
  <c r="H29" i="7"/>
  <c r="E29" i="7"/>
  <c r="G29" i="7"/>
  <c r="R28" i="7"/>
  <c r="Q28" i="7"/>
  <c r="P28" i="7"/>
  <c r="O28" i="7"/>
  <c r="N28" i="7"/>
  <c r="M28" i="7"/>
  <c r="L28" i="7"/>
  <c r="K28" i="7"/>
  <c r="J28" i="7"/>
  <c r="I28" i="7"/>
  <c r="C28" i="7"/>
  <c r="D28" i="7"/>
  <c r="F28" i="7"/>
  <c r="H28" i="7"/>
  <c r="E28" i="7"/>
  <c r="G28" i="7"/>
  <c r="R27" i="7"/>
  <c r="Q27" i="7"/>
  <c r="P27" i="7"/>
  <c r="O27" i="7"/>
  <c r="N27" i="7"/>
  <c r="M27" i="7"/>
  <c r="L27" i="7"/>
  <c r="K27" i="7"/>
  <c r="J27" i="7"/>
  <c r="I27" i="7"/>
  <c r="C27" i="7"/>
  <c r="D27" i="7"/>
  <c r="F27" i="7"/>
  <c r="H27" i="7"/>
  <c r="E27" i="7"/>
  <c r="G27" i="7"/>
  <c r="R26" i="7"/>
  <c r="Q26" i="7"/>
  <c r="P26" i="7"/>
  <c r="O26" i="7"/>
  <c r="N26" i="7"/>
  <c r="M26" i="7"/>
  <c r="L26" i="7"/>
  <c r="K26" i="7"/>
  <c r="J26" i="7"/>
  <c r="I26" i="7"/>
  <c r="C26" i="7"/>
  <c r="D26" i="7"/>
  <c r="F26" i="7"/>
  <c r="H26" i="7"/>
  <c r="E26" i="7"/>
  <c r="G26" i="7"/>
  <c r="R25" i="7"/>
  <c r="Q25" i="7"/>
  <c r="P25" i="7"/>
  <c r="O25" i="7"/>
  <c r="N25" i="7"/>
  <c r="M25" i="7"/>
  <c r="L25" i="7"/>
  <c r="K25" i="7"/>
  <c r="J25" i="7"/>
  <c r="I25" i="7"/>
  <c r="C25" i="7"/>
  <c r="D25" i="7"/>
  <c r="F25" i="7"/>
  <c r="H25" i="7"/>
  <c r="E25" i="7"/>
  <c r="G25" i="7"/>
  <c r="R24" i="7"/>
  <c r="Q24" i="7"/>
  <c r="P24" i="7"/>
  <c r="O24" i="7"/>
  <c r="N24" i="7"/>
  <c r="M24" i="7"/>
  <c r="L24" i="7"/>
  <c r="K24" i="7"/>
  <c r="J24" i="7"/>
  <c r="I24" i="7"/>
  <c r="C24" i="7"/>
  <c r="D24" i="7"/>
  <c r="F24" i="7"/>
  <c r="H24" i="7"/>
  <c r="E24" i="7"/>
  <c r="G24" i="7"/>
  <c r="R23" i="7"/>
  <c r="Q23" i="7"/>
  <c r="P23" i="7"/>
  <c r="O23" i="7"/>
  <c r="N23" i="7"/>
  <c r="M23" i="7"/>
  <c r="L23" i="7"/>
  <c r="K23" i="7"/>
  <c r="J23" i="7"/>
  <c r="I23" i="7"/>
  <c r="C23" i="7"/>
  <c r="D23" i="7"/>
  <c r="F23" i="7"/>
  <c r="H23" i="7"/>
  <c r="E23" i="7"/>
  <c r="G23" i="7"/>
  <c r="R22" i="7"/>
  <c r="Q22" i="7"/>
  <c r="P22" i="7"/>
  <c r="O22" i="7"/>
  <c r="N22" i="7"/>
  <c r="M22" i="7"/>
  <c r="L22" i="7"/>
  <c r="K22" i="7"/>
  <c r="J22" i="7"/>
  <c r="I22" i="7"/>
  <c r="C22" i="7"/>
  <c r="D22" i="7"/>
  <c r="F22" i="7"/>
  <c r="H22" i="7"/>
  <c r="E22" i="7"/>
  <c r="G22" i="7"/>
  <c r="R21" i="7"/>
  <c r="Q21" i="7"/>
  <c r="P21" i="7"/>
  <c r="O21" i="7"/>
  <c r="N21" i="7"/>
  <c r="M21" i="7"/>
  <c r="L21" i="7"/>
  <c r="K21" i="7"/>
  <c r="J21" i="7"/>
  <c r="I21" i="7"/>
  <c r="C21" i="7"/>
  <c r="D21" i="7"/>
  <c r="F21" i="7"/>
  <c r="H21" i="7"/>
  <c r="E21" i="7"/>
  <c r="G21" i="7"/>
  <c r="R20" i="7"/>
  <c r="Q20" i="7"/>
  <c r="P20" i="7"/>
  <c r="O20" i="7"/>
  <c r="N20" i="7"/>
  <c r="M20" i="7"/>
  <c r="L20" i="7"/>
  <c r="K20" i="7"/>
  <c r="J20" i="7"/>
  <c r="I20" i="7"/>
  <c r="C20" i="7"/>
  <c r="D20" i="7"/>
  <c r="F20" i="7"/>
  <c r="H20" i="7"/>
  <c r="E20" i="7"/>
  <c r="G20" i="7"/>
  <c r="R19" i="7"/>
  <c r="Q19" i="7"/>
  <c r="P19" i="7"/>
  <c r="O19" i="7"/>
  <c r="N19" i="7"/>
  <c r="M19" i="7"/>
  <c r="L19" i="7"/>
  <c r="K19" i="7"/>
  <c r="J19" i="7"/>
  <c r="I19" i="7"/>
  <c r="C19" i="7"/>
  <c r="D19" i="7"/>
  <c r="F19" i="7"/>
  <c r="H19" i="7"/>
  <c r="E19" i="7"/>
  <c r="G19" i="7"/>
  <c r="R18" i="7"/>
  <c r="Q18" i="7"/>
  <c r="P18" i="7"/>
  <c r="O18" i="7"/>
  <c r="N18" i="7"/>
  <c r="M18" i="7"/>
  <c r="L18" i="7"/>
  <c r="K18" i="7"/>
  <c r="J18" i="7"/>
  <c r="I18" i="7"/>
  <c r="C18" i="7"/>
  <c r="D18" i="7"/>
  <c r="F18" i="7"/>
  <c r="H18" i="7"/>
  <c r="E18" i="7"/>
  <c r="G18" i="7"/>
  <c r="R17" i="7"/>
  <c r="Q17" i="7"/>
  <c r="P17" i="7"/>
  <c r="O17" i="7"/>
  <c r="N17" i="7"/>
  <c r="M17" i="7"/>
  <c r="L17" i="7"/>
  <c r="K17" i="7"/>
  <c r="J17" i="7"/>
  <c r="I17" i="7"/>
  <c r="C17" i="7"/>
  <c r="D17" i="7"/>
  <c r="F17" i="7"/>
  <c r="H17" i="7"/>
  <c r="E17" i="7"/>
  <c r="G17" i="7"/>
  <c r="R16" i="7"/>
  <c r="Q16" i="7"/>
  <c r="P16" i="7"/>
  <c r="O16" i="7"/>
  <c r="N16" i="7"/>
  <c r="M16" i="7"/>
  <c r="L16" i="7"/>
  <c r="K16" i="7"/>
  <c r="J16" i="7"/>
  <c r="I16" i="7"/>
  <c r="C16" i="7"/>
  <c r="D16" i="7"/>
  <c r="F16" i="7"/>
  <c r="H16" i="7"/>
  <c r="E16" i="7"/>
  <c r="G16" i="7"/>
  <c r="R15" i="7"/>
  <c r="Q15" i="7"/>
  <c r="P15" i="7"/>
  <c r="O15" i="7"/>
  <c r="N15" i="7"/>
  <c r="M15" i="7"/>
  <c r="L15" i="7"/>
  <c r="K15" i="7"/>
  <c r="J15" i="7"/>
  <c r="I15" i="7"/>
  <c r="C15" i="7"/>
  <c r="D15" i="7"/>
  <c r="F15" i="7"/>
  <c r="H15" i="7"/>
  <c r="E15" i="7"/>
  <c r="G15" i="7"/>
  <c r="R14" i="7"/>
  <c r="Q14" i="7"/>
  <c r="P14" i="7"/>
  <c r="O14" i="7"/>
  <c r="N14" i="7"/>
  <c r="M14" i="7"/>
  <c r="L14" i="7"/>
  <c r="K14" i="7"/>
  <c r="J14" i="7"/>
  <c r="I14" i="7"/>
  <c r="C14" i="7"/>
  <c r="D14" i="7"/>
  <c r="F14" i="7"/>
  <c r="H14" i="7"/>
  <c r="E14" i="7"/>
  <c r="G14" i="7"/>
  <c r="R13" i="7"/>
  <c r="Q13" i="7"/>
  <c r="P13" i="7"/>
  <c r="O13" i="7"/>
  <c r="N13" i="7"/>
  <c r="M13" i="7"/>
  <c r="L13" i="7"/>
  <c r="K13" i="7"/>
  <c r="J13" i="7"/>
  <c r="I13" i="7"/>
  <c r="C13" i="7"/>
  <c r="D13" i="7"/>
  <c r="F13" i="7"/>
  <c r="H13" i="7"/>
  <c r="E13" i="7"/>
  <c r="G13" i="7"/>
  <c r="R12" i="7"/>
  <c r="Q12" i="7"/>
  <c r="P12" i="7"/>
  <c r="O12" i="7"/>
  <c r="N12" i="7"/>
  <c r="M12" i="7"/>
  <c r="L12" i="7"/>
  <c r="K12" i="7"/>
  <c r="J12" i="7"/>
  <c r="I12" i="7"/>
  <c r="C12" i="7"/>
  <c r="D12" i="7"/>
  <c r="F12" i="7"/>
  <c r="H12" i="7"/>
  <c r="E12" i="7"/>
  <c r="G12" i="7"/>
  <c r="R11" i="7"/>
  <c r="Q11" i="7"/>
  <c r="P11" i="7"/>
  <c r="O11" i="7"/>
  <c r="N11" i="7"/>
  <c r="M11" i="7"/>
  <c r="L11" i="7"/>
  <c r="K11" i="7"/>
  <c r="J11" i="7"/>
  <c r="I11" i="7"/>
  <c r="C11" i="7"/>
  <c r="D11" i="7"/>
  <c r="F11" i="7"/>
  <c r="H11" i="7"/>
  <c r="E11" i="7"/>
  <c r="G11" i="7"/>
  <c r="R10" i="7"/>
  <c r="Q10" i="7"/>
  <c r="P10" i="7"/>
  <c r="O10" i="7"/>
  <c r="N10" i="7"/>
  <c r="M10" i="7"/>
  <c r="L10" i="7"/>
  <c r="K10" i="7"/>
  <c r="J10" i="7"/>
  <c r="I10" i="7"/>
  <c r="C10" i="7"/>
  <c r="D10" i="7"/>
  <c r="F10" i="7"/>
  <c r="H10" i="7"/>
  <c r="E10" i="7"/>
  <c r="G10" i="7"/>
  <c r="R9" i="7"/>
  <c r="Q9" i="7"/>
  <c r="P9" i="7"/>
  <c r="O9" i="7"/>
  <c r="N9" i="7"/>
  <c r="M9" i="7"/>
  <c r="L9" i="7"/>
  <c r="K9" i="7"/>
  <c r="J9" i="7"/>
  <c r="I9" i="7"/>
  <c r="C9" i="7"/>
  <c r="D9" i="7"/>
  <c r="F9" i="7"/>
  <c r="H9" i="7"/>
  <c r="E9" i="7"/>
  <c r="G9" i="7"/>
  <c r="R8" i="7"/>
  <c r="Q8" i="7"/>
  <c r="P8" i="7"/>
  <c r="O8" i="7"/>
  <c r="N8" i="7"/>
  <c r="M8" i="7"/>
  <c r="L8" i="7"/>
  <c r="K8" i="7"/>
  <c r="J8" i="7"/>
  <c r="I8" i="7"/>
  <c r="C8" i="7"/>
  <c r="D8" i="7"/>
  <c r="F8" i="7"/>
  <c r="H8" i="7"/>
  <c r="E8" i="7"/>
  <c r="G8" i="7"/>
  <c r="R7" i="7"/>
  <c r="Q7" i="7"/>
  <c r="P7" i="7"/>
  <c r="O7" i="7"/>
  <c r="N7" i="7"/>
  <c r="M7" i="7"/>
  <c r="L7" i="7"/>
  <c r="K7" i="7"/>
  <c r="J7" i="7"/>
  <c r="I7" i="7"/>
  <c r="C7" i="7"/>
  <c r="D7" i="7"/>
  <c r="F7" i="7"/>
  <c r="H7" i="7"/>
  <c r="E7" i="7"/>
  <c r="G7" i="7"/>
  <c r="R6" i="7"/>
  <c r="Q6" i="7"/>
  <c r="P6" i="7"/>
  <c r="O6" i="7"/>
  <c r="N6" i="7"/>
  <c r="M6" i="7"/>
  <c r="L6" i="7"/>
  <c r="K6" i="7"/>
  <c r="J6" i="7"/>
  <c r="I6" i="7"/>
  <c r="C6" i="7"/>
  <c r="D6" i="7"/>
  <c r="F6" i="7"/>
  <c r="H6" i="7"/>
  <c r="E6" i="7"/>
  <c r="G6" i="7"/>
  <c r="R5" i="7"/>
  <c r="Q5" i="7"/>
  <c r="P5" i="7"/>
  <c r="O5" i="7"/>
  <c r="N5" i="7"/>
  <c r="M5" i="7"/>
  <c r="L5" i="7"/>
  <c r="K5" i="7"/>
  <c r="J5" i="7"/>
  <c r="I5" i="7"/>
  <c r="C5" i="7"/>
  <c r="D5" i="7"/>
  <c r="F5" i="7"/>
  <c r="H5" i="7"/>
  <c r="E5" i="7"/>
  <c r="G5" i="7"/>
  <c r="R4" i="7"/>
  <c r="Q4" i="7"/>
  <c r="P4" i="7"/>
  <c r="O4" i="7"/>
  <c r="N4" i="7"/>
  <c r="M4" i="7"/>
  <c r="L4" i="7"/>
  <c r="K4" i="7"/>
  <c r="J4" i="7"/>
  <c r="I4" i="7"/>
  <c r="C4" i="7"/>
  <c r="D4" i="7"/>
  <c r="F4" i="7"/>
  <c r="H4" i="7"/>
  <c r="E4" i="7"/>
  <c r="G4" i="7"/>
  <c r="R2" i="7"/>
  <c r="Q2" i="7"/>
  <c r="P2" i="7"/>
  <c r="O2" i="7"/>
  <c r="N2" i="7"/>
  <c r="M2" i="7"/>
  <c r="L2" i="7"/>
  <c r="K2" i="7"/>
  <c r="J2" i="7"/>
  <c r="I2" i="7"/>
  <c r="C2" i="7"/>
  <c r="D2" i="7"/>
  <c r="F2" i="7"/>
  <c r="H2" i="7"/>
  <c r="E2" i="7"/>
  <c r="G2" i="7"/>
  <c r="C3" i="7"/>
  <c r="C32" i="7"/>
  <c r="C33" i="7"/>
  <c r="C34" i="7"/>
  <c r="C35" i="7"/>
  <c r="C36" i="7"/>
  <c r="C37" i="7"/>
  <c r="C38" i="7"/>
  <c r="C41" i="7"/>
  <c r="C44" i="7"/>
  <c r="C31" i="7"/>
  <c r="D3" i="7"/>
  <c r="D32" i="7"/>
  <c r="D33" i="7"/>
  <c r="D34" i="7"/>
  <c r="D35" i="7"/>
  <c r="D36" i="7"/>
  <c r="D37" i="7"/>
  <c r="D38" i="7"/>
  <c r="D41" i="7"/>
  <c r="D44" i="7"/>
  <c r="D31" i="7"/>
  <c r="E3" i="7"/>
  <c r="E32" i="7"/>
  <c r="E33" i="7"/>
  <c r="E34" i="7"/>
  <c r="E35" i="7"/>
  <c r="E36" i="7"/>
  <c r="E37" i="7"/>
  <c r="E38" i="7"/>
  <c r="E41" i="7"/>
  <c r="E44" i="7"/>
  <c r="E31" i="7"/>
  <c r="F3" i="7"/>
  <c r="F32" i="7"/>
  <c r="F33" i="7"/>
  <c r="F34" i="7"/>
  <c r="F35" i="7"/>
  <c r="F36" i="7"/>
  <c r="F37" i="7"/>
  <c r="F38" i="7"/>
  <c r="F39" i="7"/>
  <c r="F40" i="7"/>
  <c r="F41" i="7"/>
  <c r="F42" i="7"/>
  <c r="F43" i="7"/>
  <c r="F44" i="7"/>
  <c r="F31" i="7"/>
  <c r="G32" i="7"/>
  <c r="G33" i="7"/>
  <c r="G34" i="7"/>
  <c r="G35" i="7"/>
  <c r="G36" i="7"/>
  <c r="G37" i="7"/>
  <c r="G38" i="7"/>
  <c r="C39" i="7"/>
  <c r="E39" i="7"/>
  <c r="G39" i="7"/>
  <c r="C40" i="7"/>
  <c r="E40" i="7"/>
  <c r="G40" i="7"/>
  <c r="G41" i="7"/>
  <c r="C42" i="7"/>
  <c r="E42" i="7"/>
  <c r="G42" i="7"/>
  <c r="C43" i="7"/>
  <c r="E43" i="7"/>
  <c r="G43" i="7"/>
  <c r="G44" i="7"/>
  <c r="G31" i="7"/>
  <c r="H32" i="7"/>
  <c r="H33" i="7"/>
  <c r="H34" i="7"/>
  <c r="H35" i="7"/>
  <c r="H36" i="7"/>
  <c r="H37" i="7"/>
  <c r="H38" i="7"/>
  <c r="D39" i="7"/>
  <c r="H39" i="7"/>
  <c r="D40" i="7"/>
  <c r="H40" i="7"/>
  <c r="H41" i="7"/>
  <c r="D42" i="7"/>
  <c r="H42" i="7"/>
  <c r="D43" i="7"/>
  <c r="H43" i="7"/>
  <c r="H44" i="7"/>
  <c r="H31" i="7"/>
  <c r="I3" i="7"/>
  <c r="I32" i="7"/>
  <c r="I33" i="7"/>
  <c r="I34" i="7"/>
  <c r="I35" i="7"/>
  <c r="I36" i="7"/>
  <c r="I37" i="7"/>
  <c r="I38" i="7"/>
  <c r="I39" i="7"/>
  <c r="I40" i="7"/>
  <c r="I41" i="7"/>
  <c r="I43" i="7"/>
  <c r="I44" i="7"/>
  <c r="I31" i="7"/>
  <c r="J3" i="7"/>
  <c r="J32" i="7"/>
  <c r="J33" i="7"/>
  <c r="J34" i="7"/>
  <c r="J35" i="7"/>
  <c r="J36" i="7"/>
  <c r="J37" i="7"/>
  <c r="J38" i="7"/>
  <c r="J39" i="7"/>
  <c r="J40" i="7"/>
  <c r="J41" i="7"/>
  <c r="J43" i="7"/>
  <c r="J44" i="7"/>
  <c r="J31" i="7"/>
  <c r="K3" i="7"/>
  <c r="K32" i="7"/>
  <c r="K33" i="7"/>
  <c r="K34" i="7"/>
  <c r="K35" i="7"/>
  <c r="K36" i="7"/>
  <c r="K37" i="7"/>
  <c r="K38" i="7"/>
  <c r="K39" i="7"/>
  <c r="K40" i="7"/>
  <c r="K41" i="7"/>
  <c r="K43" i="7"/>
  <c r="K44" i="7"/>
  <c r="K31" i="7"/>
  <c r="L3" i="7"/>
  <c r="L32" i="7"/>
  <c r="L33" i="7"/>
  <c r="L34" i="7"/>
  <c r="L35" i="7"/>
  <c r="L36" i="7"/>
  <c r="L37" i="7"/>
  <c r="L38" i="7"/>
  <c r="L39" i="7"/>
  <c r="L40" i="7"/>
  <c r="L41" i="7"/>
  <c r="L43" i="7"/>
  <c r="L44" i="7"/>
  <c r="L31" i="7"/>
  <c r="M3" i="7"/>
  <c r="M32" i="7"/>
  <c r="M33" i="7"/>
  <c r="M34" i="7"/>
  <c r="M35" i="7"/>
  <c r="M36" i="7"/>
  <c r="M37" i="7"/>
  <c r="M38" i="7"/>
  <c r="M39" i="7"/>
  <c r="M40" i="7"/>
  <c r="M41" i="7"/>
  <c r="M43" i="7"/>
  <c r="M44" i="7"/>
  <c r="M31" i="7"/>
  <c r="N3" i="7"/>
  <c r="N32" i="7"/>
  <c r="N33" i="7"/>
  <c r="N34" i="7"/>
  <c r="N35" i="7"/>
  <c r="N36" i="7"/>
  <c r="N37" i="7"/>
  <c r="N38" i="7"/>
  <c r="N39" i="7"/>
  <c r="N40" i="7"/>
  <c r="N41" i="7"/>
  <c r="N43" i="7"/>
  <c r="N44" i="7"/>
  <c r="N31" i="7"/>
  <c r="O3" i="7"/>
  <c r="O32" i="7"/>
  <c r="O33" i="7"/>
  <c r="O34" i="7"/>
  <c r="O35" i="7"/>
  <c r="O36" i="7"/>
  <c r="O37" i="7"/>
  <c r="O38" i="7"/>
  <c r="O39" i="7"/>
  <c r="O40" i="7"/>
  <c r="O41" i="7"/>
  <c r="O42" i="7"/>
  <c r="O43" i="7"/>
  <c r="O44" i="7"/>
  <c r="O31" i="7"/>
  <c r="P3" i="7"/>
  <c r="P32" i="7"/>
  <c r="P33" i="7"/>
  <c r="P34" i="7"/>
  <c r="P35" i="7"/>
  <c r="P36" i="7"/>
  <c r="P37" i="7"/>
  <c r="P38" i="7"/>
  <c r="P39" i="7"/>
  <c r="P40" i="7"/>
  <c r="P41" i="7"/>
  <c r="P42" i="7"/>
  <c r="P43" i="7"/>
  <c r="P44" i="7"/>
  <c r="P31" i="7"/>
  <c r="Q3" i="7"/>
  <c r="Q32" i="7"/>
  <c r="Q33" i="7"/>
  <c r="Q34" i="7"/>
  <c r="Q35" i="7"/>
  <c r="Q36" i="7"/>
  <c r="Q37" i="7"/>
  <c r="Q38" i="7"/>
  <c r="Q39" i="7"/>
  <c r="Q40" i="7"/>
  <c r="Q41" i="7"/>
  <c r="Q42" i="7"/>
  <c r="Q43" i="7"/>
  <c r="Q44" i="7"/>
  <c r="Q31" i="7"/>
  <c r="R3" i="7"/>
  <c r="R32" i="7"/>
  <c r="R33" i="7"/>
  <c r="R34" i="7"/>
  <c r="R35" i="7"/>
  <c r="R36" i="7"/>
  <c r="R37" i="7"/>
  <c r="R38" i="7"/>
  <c r="R39" i="7"/>
  <c r="R40" i="7"/>
  <c r="R41" i="7"/>
  <c r="R42" i="7"/>
  <c r="R43" i="7"/>
  <c r="R44" i="7"/>
  <c r="R31" i="7"/>
  <c r="I42" i="7"/>
  <c r="J42" i="7"/>
  <c r="K42" i="7"/>
  <c r="L42" i="7"/>
  <c r="M42" i="7"/>
  <c r="N42" i="7"/>
  <c r="C46" i="7"/>
  <c r="C45" i="7"/>
  <c r="D46" i="7"/>
  <c r="D45" i="7"/>
  <c r="E46" i="7"/>
  <c r="E45" i="7"/>
  <c r="F46" i="7"/>
  <c r="F47" i="7"/>
  <c r="F45" i="7"/>
  <c r="G46" i="7"/>
  <c r="C47" i="7"/>
  <c r="E47" i="7"/>
  <c r="G47" i="7"/>
  <c r="G45" i="7"/>
  <c r="H46" i="7"/>
  <c r="D47" i="7"/>
  <c r="H47" i="7"/>
  <c r="H45" i="7"/>
  <c r="I46" i="7"/>
  <c r="I47" i="7"/>
  <c r="I45" i="7"/>
  <c r="J46" i="7"/>
  <c r="J47" i="7"/>
  <c r="J45" i="7"/>
  <c r="K46" i="7"/>
  <c r="K47" i="7"/>
  <c r="K45" i="7"/>
  <c r="L46" i="7"/>
  <c r="L47" i="7"/>
  <c r="L45" i="7"/>
  <c r="M46" i="7"/>
  <c r="M47" i="7"/>
  <c r="M45" i="7"/>
  <c r="N46" i="7"/>
  <c r="N47" i="7"/>
  <c r="N45" i="7"/>
  <c r="O46" i="7"/>
  <c r="O47" i="7"/>
  <c r="O45" i="7"/>
  <c r="P46" i="7"/>
  <c r="P47" i="7"/>
  <c r="P45" i="7"/>
  <c r="Q46" i="7"/>
  <c r="Q47" i="7"/>
  <c r="Q45" i="7"/>
  <c r="R46" i="7"/>
  <c r="R47" i="7"/>
  <c r="R45" i="7"/>
  <c r="C49" i="7"/>
  <c r="C52" i="7"/>
  <c r="C54" i="7"/>
  <c r="C58" i="7"/>
  <c r="C59" i="7"/>
  <c r="C61" i="7"/>
  <c r="C48" i="7"/>
  <c r="D49" i="7"/>
  <c r="D50" i="7"/>
  <c r="D51" i="7"/>
  <c r="D52" i="7"/>
  <c r="D54" i="7"/>
  <c r="D58" i="7"/>
  <c r="D59" i="7"/>
  <c r="D61" i="7"/>
  <c r="D48" i="7"/>
  <c r="E49" i="7"/>
  <c r="E50" i="7"/>
  <c r="E51" i="7"/>
  <c r="E52" i="7"/>
  <c r="E54" i="7"/>
  <c r="E58" i="7"/>
  <c r="E59" i="7"/>
  <c r="E61" i="7"/>
  <c r="E48" i="7"/>
  <c r="F49" i="7"/>
  <c r="F50" i="7"/>
  <c r="F51" i="7"/>
  <c r="F52" i="7"/>
  <c r="F53" i="7"/>
  <c r="F54" i="7"/>
  <c r="F55" i="7"/>
  <c r="F56" i="7"/>
  <c r="F57" i="7"/>
  <c r="F58" i="7"/>
  <c r="F59" i="7"/>
  <c r="F60" i="7"/>
  <c r="F61" i="7"/>
  <c r="F62" i="7"/>
  <c r="F48" i="7"/>
  <c r="G49" i="7"/>
  <c r="C50" i="7"/>
  <c r="G50" i="7"/>
  <c r="C51" i="7"/>
  <c r="G51" i="7"/>
  <c r="G52" i="7"/>
  <c r="C53" i="7"/>
  <c r="E53" i="7"/>
  <c r="G53" i="7"/>
  <c r="G54" i="7"/>
  <c r="C55" i="7"/>
  <c r="E55" i="7"/>
  <c r="G55" i="7"/>
  <c r="C56" i="7"/>
  <c r="E56" i="7"/>
  <c r="G56" i="7"/>
  <c r="C57" i="7"/>
  <c r="E57" i="7"/>
  <c r="G57" i="7"/>
  <c r="G58" i="7"/>
  <c r="G59" i="7"/>
  <c r="C60" i="7"/>
  <c r="E60" i="7"/>
  <c r="G60" i="7"/>
  <c r="G61" i="7"/>
  <c r="C62" i="7"/>
  <c r="E62" i="7"/>
  <c r="G62" i="7"/>
  <c r="G48" i="7"/>
  <c r="H49" i="7"/>
  <c r="H50" i="7"/>
  <c r="H51" i="7"/>
  <c r="H52" i="7"/>
  <c r="D53" i="7"/>
  <c r="H53" i="7"/>
  <c r="H54" i="7"/>
  <c r="D55" i="7"/>
  <c r="H55" i="7"/>
  <c r="D56" i="7"/>
  <c r="H56" i="7"/>
  <c r="D57" i="7"/>
  <c r="H57" i="7"/>
  <c r="H58" i="7"/>
  <c r="H59" i="7"/>
  <c r="D60" i="7"/>
  <c r="H60" i="7"/>
  <c r="H61" i="7"/>
  <c r="D62" i="7"/>
  <c r="H62" i="7"/>
  <c r="H48" i="7"/>
  <c r="I49" i="7"/>
  <c r="I50" i="7"/>
  <c r="I51" i="7"/>
  <c r="I52" i="7"/>
  <c r="I53" i="7"/>
  <c r="I54" i="7"/>
  <c r="I55" i="7"/>
  <c r="I56" i="7"/>
  <c r="I58" i="7"/>
  <c r="I59" i="7"/>
  <c r="I61" i="7"/>
  <c r="I62" i="7"/>
  <c r="I48" i="7"/>
  <c r="J49" i="7"/>
  <c r="J50" i="7"/>
  <c r="J51" i="7"/>
  <c r="J52" i="7"/>
  <c r="J53" i="7"/>
  <c r="J54" i="7"/>
  <c r="J55" i="7"/>
  <c r="J56" i="7"/>
  <c r="J58" i="7"/>
  <c r="J59" i="7"/>
  <c r="J61" i="7"/>
  <c r="J62" i="7"/>
  <c r="J48" i="7"/>
  <c r="K49" i="7"/>
  <c r="K50" i="7"/>
  <c r="K51" i="7"/>
  <c r="K52" i="7"/>
  <c r="K53" i="7"/>
  <c r="K54" i="7"/>
  <c r="K55" i="7"/>
  <c r="K56" i="7"/>
  <c r="K58" i="7"/>
  <c r="K59" i="7"/>
  <c r="K61" i="7"/>
  <c r="K62" i="7"/>
  <c r="K48" i="7"/>
  <c r="L49" i="7"/>
  <c r="L50" i="7"/>
  <c r="L51" i="7"/>
  <c r="L52" i="7"/>
  <c r="L53" i="7"/>
  <c r="L54" i="7"/>
  <c r="L55" i="7"/>
  <c r="L56" i="7"/>
  <c r="L58" i="7"/>
  <c r="L59" i="7"/>
  <c r="L61" i="7"/>
  <c r="L62" i="7"/>
  <c r="L48" i="7"/>
  <c r="M49" i="7"/>
  <c r="M50" i="7"/>
  <c r="M51" i="7"/>
  <c r="M52" i="7"/>
  <c r="M53" i="7"/>
  <c r="M54" i="7"/>
  <c r="M55" i="7"/>
  <c r="M56" i="7"/>
  <c r="M58" i="7"/>
  <c r="M59" i="7"/>
  <c r="M61" i="7"/>
  <c r="M62" i="7"/>
  <c r="M48" i="7"/>
  <c r="N49" i="7"/>
  <c r="N50" i="7"/>
  <c r="N51" i="7"/>
  <c r="N52" i="7"/>
  <c r="N53" i="7"/>
  <c r="N54" i="7"/>
  <c r="N55" i="7"/>
  <c r="N56" i="7"/>
  <c r="N57" i="7"/>
  <c r="N58" i="7"/>
  <c r="N59" i="7"/>
  <c r="N60" i="7"/>
  <c r="N61" i="7"/>
  <c r="N62" i="7"/>
  <c r="N48" i="7"/>
  <c r="O49" i="7"/>
  <c r="O50" i="7"/>
  <c r="O51" i="7"/>
  <c r="O52" i="7"/>
  <c r="O53" i="7"/>
  <c r="O54" i="7"/>
  <c r="O55" i="7"/>
  <c r="O56" i="7"/>
  <c r="O57" i="7"/>
  <c r="O58" i="7"/>
  <c r="O59" i="7"/>
  <c r="O60" i="7"/>
  <c r="O61" i="7"/>
  <c r="O62" i="7"/>
  <c r="O48" i="7"/>
  <c r="P49" i="7"/>
  <c r="P50" i="7"/>
  <c r="P51" i="7"/>
  <c r="P52" i="7"/>
  <c r="P53" i="7"/>
  <c r="P54" i="7"/>
  <c r="P55" i="7"/>
  <c r="P56" i="7"/>
  <c r="P57" i="7"/>
  <c r="P58" i="7"/>
  <c r="P59" i="7"/>
  <c r="P60" i="7"/>
  <c r="P61" i="7"/>
  <c r="P62" i="7"/>
  <c r="P48" i="7"/>
  <c r="Q49" i="7"/>
  <c r="Q50" i="7"/>
  <c r="Q51" i="7"/>
  <c r="Q52" i="7"/>
  <c r="Q53" i="7"/>
  <c r="Q54" i="7"/>
  <c r="Q55" i="7"/>
  <c r="Q56" i="7"/>
  <c r="Q57" i="7"/>
  <c r="Q58" i="7"/>
  <c r="Q59" i="7"/>
  <c r="Q60" i="7"/>
  <c r="Q61" i="7"/>
  <c r="Q62" i="7"/>
  <c r="Q48" i="7"/>
  <c r="R49" i="7"/>
  <c r="R50" i="7"/>
  <c r="R51" i="7"/>
  <c r="R52" i="7"/>
  <c r="R53" i="7"/>
  <c r="R54" i="7"/>
  <c r="R55" i="7"/>
  <c r="R56" i="7"/>
  <c r="R57" i="7"/>
  <c r="R58" i="7"/>
  <c r="R59" i="7"/>
  <c r="R60" i="7"/>
  <c r="R61" i="7"/>
  <c r="R62" i="7"/>
  <c r="R48" i="7"/>
  <c r="I57" i="7"/>
  <c r="J57" i="7"/>
  <c r="K57" i="7"/>
  <c r="L57" i="7"/>
  <c r="M57" i="7"/>
  <c r="I60" i="7"/>
  <c r="J60" i="7"/>
  <c r="K60" i="7"/>
  <c r="L60" i="7"/>
  <c r="M60" i="7"/>
  <c r="C66" i="7"/>
  <c r="C68" i="7"/>
  <c r="C72" i="7"/>
  <c r="C73" i="7"/>
  <c r="C75" i="7"/>
  <c r="C63" i="7"/>
  <c r="D64" i="7"/>
  <c r="D65" i="7"/>
  <c r="D66" i="7"/>
  <c r="D68" i="7"/>
  <c r="D72" i="7"/>
  <c r="D73" i="7"/>
  <c r="D75" i="7"/>
  <c r="D63" i="7"/>
  <c r="E64" i="7"/>
  <c r="E65" i="7"/>
  <c r="E66" i="7"/>
  <c r="E68" i="7"/>
  <c r="E72" i="7"/>
  <c r="E73" i="7"/>
  <c r="E75" i="7"/>
  <c r="E63" i="7"/>
  <c r="F64" i="7"/>
  <c r="F65" i="7"/>
  <c r="F66" i="7"/>
  <c r="F67" i="7"/>
  <c r="F68" i="7"/>
  <c r="F69" i="7"/>
  <c r="F70" i="7"/>
  <c r="F71" i="7"/>
  <c r="F72" i="7"/>
  <c r="F73" i="7"/>
  <c r="F74" i="7"/>
  <c r="F75" i="7"/>
  <c r="F76" i="7"/>
  <c r="F63" i="7"/>
  <c r="C64" i="7"/>
  <c r="G64" i="7"/>
  <c r="C65" i="7"/>
  <c r="G65" i="7"/>
  <c r="G66" i="7"/>
  <c r="C67" i="7"/>
  <c r="E67" i="7"/>
  <c r="G67" i="7"/>
  <c r="G68" i="7"/>
  <c r="C69" i="7"/>
  <c r="E69" i="7"/>
  <c r="G69" i="7"/>
  <c r="C70" i="7"/>
  <c r="E70" i="7"/>
  <c r="G70" i="7"/>
  <c r="C71" i="7"/>
  <c r="E71" i="7"/>
  <c r="G71" i="7"/>
  <c r="G72" i="7"/>
  <c r="G73" i="7"/>
  <c r="C74" i="7"/>
  <c r="E74" i="7"/>
  <c r="G74" i="7"/>
  <c r="G75" i="7"/>
  <c r="C76" i="7"/>
  <c r="E76" i="7"/>
  <c r="G76" i="7"/>
  <c r="G63" i="7"/>
  <c r="H64" i="7"/>
  <c r="H65" i="7"/>
  <c r="H66" i="7"/>
  <c r="D67" i="7"/>
  <c r="H67" i="7"/>
  <c r="H68" i="7"/>
  <c r="D69" i="7"/>
  <c r="H69" i="7"/>
  <c r="D70" i="7"/>
  <c r="H70" i="7"/>
  <c r="D71" i="7"/>
  <c r="H71" i="7"/>
  <c r="H72" i="7"/>
  <c r="H73" i="7"/>
  <c r="D74" i="7"/>
  <c r="H74" i="7"/>
  <c r="H75" i="7"/>
  <c r="D76" i="7"/>
  <c r="H76" i="7"/>
  <c r="H63" i="7"/>
  <c r="I64" i="7"/>
  <c r="I65" i="7"/>
  <c r="I66" i="7"/>
  <c r="I67" i="7"/>
  <c r="I68" i="7"/>
  <c r="I69" i="7"/>
  <c r="I70" i="7"/>
  <c r="I72" i="7"/>
  <c r="I73" i="7"/>
  <c r="I75" i="7"/>
  <c r="I76" i="7"/>
  <c r="I63" i="7"/>
  <c r="J64" i="7"/>
  <c r="J65" i="7"/>
  <c r="J66" i="7"/>
  <c r="J67" i="7"/>
  <c r="J68" i="7"/>
  <c r="J69" i="7"/>
  <c r="J70" i="7"/>
  <c r="J72" i="7"/>
  <c r="J73" i="7"/>
  <c r="J75" i="7"/>
  <c r="J76" i="7"/>
  <c r="J63" i="7"/>
  <c r="K64" i="7"/>
  <c r="K65" i="7"/>
  <c r="K66" i="7"/>
  <c r="K67" i="7"/>
  <c r="K68" i="7"/>
  <c r="K69" i="7"/>
  <c r="K70" i="7"/>
  <c r="K72" i="7"/>
  <c r="K73" i="7"/>
  <c r="K75" i="7"/>
  <c r="K76" i="7"/>
  <c r="K63" i="7"/>
  <c r="L64" i="7"/>
  <c r="L65" i="7"/>
  <c r="L66" i="7"/>
  <c r="L67" i="7"/>
  <c r="L68" i="7"/>
  <c r="L69" i="7"/>
  <c r="L70" i="7"/>
  <c r="L72" i="7"/>
  <c r="L73" i="7"/>
  <c r="L75" i="7"/>
  <c r="L76" i="7"/>
  <c r="L63" i="7"/>
  <c r="M64" i="7"/>
  <c r="M65" i="7"/>
  <c r="M66" i="7"/>
  <c r="M67" i="7"/>
  <c r="M68" i="7"/>
  <c r="M69" i="7"/>
  <c r="M70" i="7"/>
  <c r="M72" i="7"/>
  <c r="M73" i="7"/>
  <c r="M75" i="7"/>
  <c r="M76" i="7"/>
  <c r="M63" i="7"/>
  <c r="N64" i="7"/>
  <c r="N65" i="7"/>
  <c r="N66" i="7"/>
  <c r="N67" i="7"/>
  <c r="N68" i="7"/>
  <c r="N69" i="7"/>
  <c r="N70" i="7"/>
  <c r="N71" i="7"/>
  <c r="N72" i="7"/>
  <c r="N73" i="7"/>
  <c r="N74" i="7"/>
  <c r="N75" i="7"/>
  <c r="N76" i="7"/>
  <c r="N63" i="7"/>
  <c r="O64" i="7"/>
  <c r="O65" i="7"/>
  <c r="O66" i="7"/>
  <c r="O67" i="7"/>
  <c r="O68" i="7"/>
  <c r="O69" i="7"/>
  <c r="O70" i="7"/>
  <c r="O71" i="7"/>
  <c r="O72" i="7"/>
  <c r="O73" i="7"/>
  <c r="O74" i="7"/>
  <c r="O75" i="7"/>
  <c r="O76" i="7"/>
  <c r="O63" i="7"/>
  <c r="P64" i="7"/>
  <c r="P65" i="7"/>
  <c r="P66" i="7"/>
  <c r="P67" i="7"/>
  <c r="P68" i="7"/>
  <c r="P69" i="7"/>
  <c r="P70" i="7"/>
  <c r="P71" i="7"/>
  <c r="P72" i="7"/>
  <c r="P73" i="7"/>
  <c r="P74" i="7"/>
  <c r="P75" i="7"/>
  <c r="P76" i="7"/>
  <c r="P63" i="7"/>
  <c r="Q64" i="7"/>
  <c r="Q65" i="7"/>
  <c r="Q66" i="7"/>
  <c r="Q67" i="7"/>
  <c r="Q68" i="7"/>
  <c r="Q69" i="7"/>
  <c r="Q70" i="7"/>
  <c r="Q71" i="7"/>
  <c r="Q72" i="7"/>
  <c r="Q73" i="7"/>
  <c r="Q74" i="7"/>
  <c r="Q75" i="7"/>
  <c r="Q76" i="7"/>
  <c r="Q63" i="7"/>
  <c r="R64" i="7"/>
  <c r="R65" i="7"/>
  <c r="R66" i="7"/>
  <c r="R67" i="7"/>
  <c r="R68" i="7"/>
  <c r="R69" i="7"/>
  <c r="R70" i="7"/>
  <c r="R71" i="7"/>
  <c r="R72" i="7"/>
  <c r="R73" i="7"/>
  <c r="R74" i="7"/>
  <c r="R75" i="7"/>
  <c r="R76" i="7"/>
  <c r="R63" i="7"/>
  <c r="I71" i="7"/>
  <c r="J71" i="7"/>
  <c r="K71" i="7"/>
  <c r="L71" i="7"/>
  <c r="M71" i="7"/>
  <c r="I74" i="7"/>
  <c r="J74" i="7"/>
  <c r="K74" i="7"/>
  <c r="L74" i="7"/>
  <c r="M74" i="7"/>
  <c r="C3" i="6"/>
  <c r="C32" i="6"/>
  <c r="C13" i="6"/>
  <c r="C33" i="6"/>
  <c r="C14" i="6"/>
  <c r="C34" i="6"/>
  <c r="C30" i="6"/>
  <c r="C35" i="6"/>
  <c r="C26" i="6"/>
  <c r="C36" i="6"/>
  <c r="C22" i="6"/>
  <c r="C37" i="6"/>
  <c r="C2" i="6"/>
  <c r="C38" i="6"/>
  <c r="C8" i="6"/>
  <c r="C41" i="6"/>
  <c r="C15" i="6"/>
  <c r="C44" i="6"/>
  <c r="C31" i="6"/>
  <c r="F8" i="13"/>
  <c r="F9" i="14"/>
  <c r="F24" i="15"/>
  <c r="F21" i="15"/>
  <c r="F18" i="15"/>
  <c r="F15" i="15"/>
  <c r="F12" i="15"/>
  <c r="F9" i="15"/>
  <c r="F6" i="15"/>
  <c r="F3" i="15"/>
  <c r="F30" i="15"/>
  <c r="F28" i="15"/>
  <c r="F26" i="15"/>
  <c r="F25" i="15"/>
  <c r="F24" i="14"/>
  <c r="F20" i="14"/>
  <c r="F22" i="12"/>
  <c r="F18" i="12"/>
  <c r="F17" i="12"/>
  <c r="F16" i="12"/>
  <c r="F15" i="12"/>
  <c r="F13" i="12"/>
  <c r="F11" i="12"/>
  <c r="F8" i="12"/>
  <c r="F7" i="12"/>
  <c r="F3" i="12"/>
  <c r="F27" i="12"/>
  <c r="F5" i="13"/>
  <c r="F6" i="14"/>
  <c r="F12" i="14"/>
  <c r="F11" i="13"/>
  <c r="F9" i="12"/>
  <c r="F10" i="12"/>
  <c r="F30" i="14"/>
  <c r="F29" i="14"/>
  <c r="F25" i="14"/>
  <c r="F15" i="14"/>
  <c r="F14" i="13"/>
  <c r="C2" i="15"/>
  <c r="F5" i="12"/>
  <c r="F20" i="12"/>
  <c r="C24" i="15"/>
  <c r="F17" i="14"/>
  <c r="C15" i="14"/>
  <c r="C12" i="14"/>
  <c r="C9" i="14"/>
  <c r="C6" i="14"/>
  <c r="F28" i="14"/>
  <c r="F3" i="14"/>
  <c r="F14" i="14"/>
  <c r="F11" i="14"/>
  <c r="F8" i="14"/>
  <c r="F5" i="14"/>
  <c r="F27" i="14"/>
  <c r="F2" i="14"/>
  <c r="F26" i="14"/>
  <c r="C14" i="14"/>
  <c r="C11" i="14"/>
  <c r="C8" i="14"/>
  <c r="C5" i="14"/>
  <c r="F16" i="14"/>
  <c r="F13" i="14"/>
  <c r="F10" i="14"/>
  <c r="F7" i="14"/>
  <c r="F4" i="14"/>
  <c r="F23" i="14"/>
  <c r="F22" i="14"/>
  <c r="F21" i="14"/>
  <c r="C16" i="14"/>
  <c r="C13" i="14"/>
  <c r="C10" i="14"/>
  <c r="C7" i="14"/>
  <c r="C4" i="14"/>
  <c r="C11" i="13"/>
  <c r="C5" i="13"/>
  <c r="F16" i="13"/>
  <c r="F13" i="13"/>
  <c r="F10" i="13"/>
  <c r="F7" i="13"/>
  <c r="F4" i="13"/>
  <c r="C16" i="13"/>
  <c r="C10" i="13"/>
  <c r="C7" i="13"/>
  <c r="C4" i="13"/>
  <c r="F15" i="13"/>
  <c r="F12" i="13"/>
  <c r="F9" i="13"/>
  <c r="F6" i="13"/>
  <c r="C12" i="13"/>
  <c r="C9" i="13"/>
  <c r="C6" i="13"/>
  <c r="F4" i="12"/>
  <c r="F25" i="12"/>
  <c r="F12" i="12"/>
  <c r="F14" i="12"/>
  <c r="F18" i="14"/>
  <c r="F23" i="12"/>
  <c r="F26" i="12"/>
  <c r="F29" i="12"/>
  <c r="F28" i="12"/>
  <c r="F24" i="12"/>
  <c r="F21" i="12"/>
  <c r="F19" i="12"/>
  <c r="F2" i="12"/>
  <c r="F6" i="12"/>
  <c r="F30" i="12"/>
  <c r="F19" i="14"/>
  <c r="C29" i="15"/>
  <c r="C4" i="15"/>
  <c r="C7" i="15"/>
  <c r="C10" i="15"/>
  <c r="C13" i="15"/>
  <c r="C16" i="15"/>
  <c r="C19" i="15"/>
  <c r="C22" i="15"/>
  <c r="F29" i="15"/>
  <c r="F4" i="15"/>
  <c r="F7" i="15"/>
  <c r="F10" i="15"/>
  <c r="F13" i="15"/>
  <c r="F16" i="15"/>
  <c r="F19" i="15"/>
  <c r="F22" i="15"/>
  <c r="C27" i="15"/>
  <c r="C5" i="15"/>
  <c r="C8" i="15"/>
  <c r="C11" i="15"/>
  <c r="C14" i="15"/>
  <c r="C17" i="15"/>
  <c r="C20" i="15"/>
  <c r="C23" i="15"/>
  <c r="F2" i="15"/>
  <c r="F27" i="15"/>
  <c r="F5" i="15"/>
  <c r="F8" i="15"/>
  <c r="F11" i="15"/>
  <c r="F14" i="15"/>
  <c r="F17" i="15"/>
  <c r="F20" i="15"/>
  <c r="F23" i="15"/>
  <c r="C26" i="15"/>
  <c r="C28" i="15"/>
  <c r="C30" i="15"/>
  <c r="C3" i="15"/>
  <c r="C6" i="15"/>
  <c r="C9" i="15"/>
  <c r="C12" i="15"/>
  <c r="C15" i="15"/>
  <c r="C18" i="15"/>
  <c r="C21" i="15"/>
  <c r="C25" i="15"/>
  <c r="C30" i="14"/>
  <c r="C29" i="14"/>
  <c r="C28" i="14"/>
  <c r="C27" i="14"/>
  <c r="C26" i="14"/>
  <c r="C25" i="14"/>
  <c r="C24" i="14"/>
  <c r="C23" i="14"/>
  <c r="C22" i="14"/>
  <c r="C21" i="14"/>
  <c r="C20" i="14"/>
  <c r="C19" i="14"/>
  <c r="C18" i="14"/>
  <c r="C17" i="14"/>
  <c r="C3" i="14"/>
  <c r="C2" i="14"/>
  <c r="C29" i="13"/>
  <c r="C28" i="13"/>
  <c r="C27" i="13"/>
  <c r="C25" i="13"/>
  <c r="C24" i="13"/>
  <c r="C23" i="13"/>
  <c r="C21" i="13"/>
  <c r="C20" i="13"/>
  <c r="C19" i="13"/>
  <c r="C18" i="13"/>
  <c r="C17" i="13"/>
  <c r="F30" i="13"/>
  <c r="F29" i="13"/>
  <c r="F28" i="13"/>
  <c r="F27" i="13"/>
  <c r="F26" i="13"/>
  <c r="F25" i="13"/>
  <c r="F24" i="13"/>
  <c r="F23" i="13"/>
  <c r="F22" i="13"/>
  <c r="F21" i="13"/>
  <c r="F20" i="13"/>
  <c r="F19" i="13"/>
  <c r="F18" i="13"/>
  <c r="F17" i="13"/>
  <c r="F3" i="13"/>
  <c r="R3" i="9"/>
  <c r="Q3" i="9"/>
  <c r="P3" i="9"/>
  <c r="O3" i="9"/>
  <c r="N3" i="9"/>
  <c r="M3" i="9"/>
  <c r="L3" i="9"/>
  <c r="K3" i="9"/>
  <c r="J3" i="9"/>
  <c r="I3" i="9"/>
  <c r="R3" i="8"/>
  <c r="Q3" i="8"/>
  <c r="P3" i="8"/>
  <c r="O3" i="8"/>
  <c r="N3" i="8"/>
  <c r="M3" i="8"/>
  <c r="L3" i="8"/>
  <c r="K3" i="8"/>
  <c r="J3" i="8"/>
  <c r="I3" i="8"/>
  <c r="F3" i="9"/>
  <c r="F3" i="8"/>
  <c r="R35" i="9"/>
  <c r="Q35" i="9"/>
  <c r="O35" i="9"/>
  <c r="K35" i="9"/>
  <c r="Q43" i="9"/>
  <c r="R36" i="9"/>
  <c r="Q36" i="9"/>
  <c r="O36" i="9"/>
  <c r="K36" i="9"/>
  <c r="R69" i="9"/>
  <c r="O49" i="9"/>
  <c r="K49" i="9"/>
  <c r="R37" i="9"/>
  <c r="Q37" i="9"/>
  <c r="O37" i="9"/>
  <c r="K37" i="9"/>
  <c r="F51" i="9"/>
  <c r="Q56" i="9"/>
  <c r="O42" i="9"/>
  <c r="Q61" i="9"/>
  <c r="F66" i="9"/>
  <c r="R44" i="9"/>
  <c r="Q44" i="9"/>
  <c r="O34" i="9"/>
  <c r="K34" i="9"/>
  <c r="F34" i="9"/>
  <c r="Q33" i="9"/>
  <c r="O33" i="9"/>
  <c r="K33" i="9"/>
  <c r="F74" i="9"/>
  <c r="O46" i="9"/>
  <c r="R54" i="9"/>
  <c r="Q68" i="9"/>
  <c r="O41" i="9"/>
  <c r="R59" i="9"/>
  <c r="Q73" i="9"/>
  <c r="O47" i="9"/>
  <c r="F47" i="9"/>
  <c r="R53" i="9"/>
  <c r="O40" i="9"/>
  <c r="F40" i="9"/>
  <c r="Q32" i="9"/>
  <c r="O32" i="9"/>
  <c r="K32" i="9"/>
  <c r="O38" i="9"/>
  <c r="K38" i="9"/>
  <c r="M32" i="9"/>
  <c r="I32" i="9"/>
  <c r="P35" i="8"/>
  <c r="O35" i="8"/>
  <c r="K35" i="8"/>
  <c r="O43" i="8"/>
  <c r="K43" i="8"/>
  <c r="F43" i="8"/>
  <c r="R62" i="8"/>
  <c r="N62" i="8"/>
  <c r="F62" i="8"/>
  <c r="O36" i="8"/>
  <c r="K36" i="8"/>
  <c r="F36" i="8"/>
  <c r="F64" i="8"/>
  <c r="O37" i="8"/>
  <c r="K37" i="8"/>
  <c r="F37" i="8"/>
  <c r="F65" i="8"/>
  <c r="R70" i="8"/>
  <c r="R42" i="8"/>
  <c r="O42" i="8"/>
  <c r="N42" i="8"/>
  <c r="K42" i="8"/>
  <c r="F42" i="8"/>
  <c r="R75" i="8"/>
  <c r="R66" i="8"/>
  <c r="N66" i="8"/>
  <c r="F66" i="8"/>
  <c r="P44" i="8"/>
  <c r="O44" i="8"/>
  <c r="K44" i="8"/>
  <c r="F44" i="8"/>
  <c r="R34" i="8"/>
  <c r="O34" i="8"/>
  <c r="N34" i="8"/>
  <c r="K34" i="8"/>
  <c r="F34" i="8"/>
  <c r="P33" i="8"/>
  <c r="O33" i="8"/>
  <c r="K33" i="8"/>
  <c r="F33" i="8"/>
  <c r="R74" i="8"/>
  <c r="N74" i="8"/>
  <c r="O39" i="8"/>
  <c r="K39" i="8"/>
  <c r="F39" i="8"/>
  <c r="F46" i="8"/>
  <c r="R68" i="8"/>
  <c r="R41" i="8"/>
  <c r="O41" i="8"/>
  <c r="N41" i="8"/>
  <c r="K41" i="8"/>
  <c r="F41" i="8"/>
  <c r="R73" i="8"/>
  <c r="F47" i="8"/>
  <c r="R40" i="8"/>
  <c r="O40" i="8"/>
  <c r="K40" i="8"/>
  <c r="F40" i="8"/>
  <c r="R32" i="8"/>
  <c r="P32" i="8"/>
  <c r="O32" i="8"/>
  <c r="K32" i="8"/>
  <c r="F32" i="8"/>
  <c r="R38" i="8"/>
  <c r="N38" i="8"/>
  <c r="R76" i="9"/>
  <c r="Q76" i="9"/>
  <c r="P76" i="9"/>
  <c r="N76" i="9"/>
  <c r="M76" i="9"/>
  <c r="L76" i="9"/>
  <c r="J76" i="9"/>
  <c r="I76" i="9"/>
  <c r="F76" i="9"/>
  <c r="R75" i="9"/>
  <c r="Q75" i="9"/>
  <c r="P75" i="9"/>
  <c r="N75" i="9"/>
  <c r="M75" i="9"/>
  <c r="L75" i="9"/>
  <c r="J75" i="9"/>
  <c r="I75" i="9"/>
  <c r="F75" i="9"/>
  <c r="R74" i="9"/>
  <c r="Q74" i="9"/>
  <c r="P74" i="9"/>
  <c r="N74" i="9"/>
  <c r="M74" i="9"/>
  <c r="L74" i="9"/>
  <c r="J74" i="9"/>
  <c r="I74" i="9"/>
  <c r="P73" i="9"/>
  <c r="N73" i="9"/>
  <c r="M73" i="9"/>
  <c r="L73" i="9"/>
  <c r="J73" i="9"/>
  <c r="I73" i="9"/>
  <c r="F73" i="9"/>
  <c r="M72" i="9"/>
  <c r="L72" i="9"/>
  <c r="K72" i="9"/>
  <c r="J72" i="9"/>
  <c r="I72" i="9"/>
  <c r="R71" i="9"/>
  <c r="Q71" i="9"/>
  <c r="P71" i="9"/>
  <c r="N71" i="9"/>
  <c r="M71" i="9"/>
  <c r="L71" i="9"/>
  <c r="J71" i="9"/>
  <c r="I71" i="9"/>
  <c r="F71" i="9"/>
  <c r="R70" i="9"/>
  <c r="Q70" i="9"/>
  <c r="P70" i="9"/>
  <c r="N70" i="9"/>
  <c r="M70" i="9"/>
  <c r="L70" i="9"/>
  <c r="J70" i="9"/>
  <c r="I70" i="9"/>
  <c r="F70" i="9"/>
  <c r="P69" i="9"/>
  <c r="N69" i="9"/>
  <c r="M69" i="9"/>
  <c r="L69" i="9"/>
  <c r="J69" i="9"/>
  <c r="I69" i="9"/>
  <c r="F69" i="9"/>
  <c r="P68" i="9"/>
  <c r="N68" i="9"/>
  <c r="M68" i="9"/>
  <c r="L68" i="9"/>
  <c r="J68" i="9"/>
  <c r="I68" i="9"/>
  <c r="F68" i="9"/>
  <c r="P67" i="9"/>
  <c r="N67" i="9"/>
  <c r="M67" i="9"/>
  <c r="L67" i="9"/>
  <c r="J67" i="9"/>
  <c r="I67" i="9"/>
  <c r="F67" i="9"/>
  <c r="R66" i="9"/>
  <c r="Q66" i="9"/>
  <c r="P66" i="9"/>
  <c r="N66" i="9"/>
  <c r="M66" i="9"/>
  <c r="L66" i="9"/>
  <c r="J66" i="9"/>
  <c r="I66" i="9"/>
  <c r="R65" i="9"/>
  <c r="Q65" i="9"/>
  <c r="P65" i="9"/>
  <c r="N65" i="9"/>
  <c r="M65" i="9"/>
  <c r="L65" i="9"/>
  <c r="J65" i="9"/>
  <c r="I65" i="9"/>
  <c r="F65" i="9"/>
  <c r="R64" i="9"/>
  <c r="Q64" i="9"/>
  <c r="P64" i="9"/>
  <c r="N64" i="9"/>
  <c r="M64" i="9"/>
  <c r="L64" i="9"/>
  <c r="J64" i="9"/>
  <c r="I64" i="9"/>
  <c r="F64" i="9"/>
  <c r="R62" i="9"/>
  <c r="Q62" i="9"/>
  <c r="P62" i="9"/>
  <c r="N62" i="9"/>
  <c r="M62" i="9"/>
  <c r="L62" i="9"/>
  <c r="J62" i="9"/>
  <c r="I62" i="9"/>
  <c r="F62" i="9"/>
  <c r="R61" i="9"/>
  <c r="P61" i="9"/>
  <c r="N61" i="9"/>
  <c r="M61" i="9"/>
  <c r="L61" i="9"/>
  <c r="J61" i="9"/>
  <c r="I61" i="9"/>
  <c r="F61" i="9"/>
  <c r="R60" i="9"/>
  <c r="Q60" i="9"/>
  <c r="P60" i="9"/>
  <c r="N60" i="9"/>
  <c r="M60" i="9"/>
  <c r="L60" i="9"/>
  <c r="J60" i="9"/>
  <c r="I60" i="9"/>
  <c r="F60" i="9"/>
  <c r="Q59" i="9"/>
  <c r="P59" i="9"/>
  <c r="N59" i="9"/>
  <c r="M59" i="9"/>
  <c r="L59" i="9"/>
  <c r="J59" i="9"/>
  <c r="I59" i="9"/>
  <c r="F59" i="9"/>
  <c r="M58" i="9"/>
  <c r="L58" i="9"/>
  <c r="K58" i="9"/>
  <c r="J58" i="9"/>
  <c r="I58" i="9"/>
  <c r="R57" i="9"/>
  <c r="Q57" i="9"/>
  <c r="P57" i="9"/>
  <c r="N57" i="9"/>
  <c r="M57" i="9"/>
  <c r="L57" i="9"/>
  <c r="J57" i="9"/>
  <c r="I57" i="9"/>
  <c r="F57" i="9"/>
  <c r="R56" i="9"/>
  <c r="P56" i="9"/>
  <c r="N56" i="9"/>
  <c r="M56" i="9"/>
  <c r="L56" i="9"/>
  <c r="J56" i="9"/>
  <c r="I56" i="9"/>
  <c r="F56" i="9"/>
  <c r="R55" i="9"/>
  <c r="P55" i="9"/>
  <c r="N55" i="9"/>
  <c r="M55" i="9"/>
  <c r="L55" i="9"/>
  <c r="J55" i="9"/>
  <c r="I55" i="9"/>
  <c r="F55" i="9"/>
  <c r="P54" i="9"/>
  <c r="N54" i="9"/>
  <c r="M54" i="9"/>
  <c r="L54" i="9"/>
  <c r="J54" i="9"/>
  <c r="I54" i="9"/>
  <c r="F54" i="9"/>
  <c r="P53" i="9"/>
  <c r="N53" i="9"/>
  <c r="M53" i="9"/>
  <c r="L53" i="9"/>
  <c r="J53" i="9"/>
  <c r="I53" i="9"/>
  <c r="F53" i="9"/>
  <c r="R52" i="9"/>
  <c r="Q52" i="9"/>
  <c r="P52" i="9"/>
  <c r="N52" i="9"/>
  <c r="M52" i="9"/>
  <c r="L52" i="9"/>
  <c r="J52" i="9"/>
  <c r="I52" i="9"/>
  <c r="F52" i="9"/>
  <c r="R51" i="9"/>
  <c r="Q51" i="9"/>
  <c r="P51" i="9"/>
  <c r="N51" i="9"/>
  <c r="M51" i="9"/>
  <c r="L51" i="9"/>
  <c r="J51" i="9"/>
  <c r="I51" i="9"/>
  <c r="R50" i="9"/>
  <c r="Q50" i="9"/>
  <c r="P50" i="9"/>
  <c r="N50" i="9"/>
  <c r="M50" i="9"/>
  <c r="L50" i="9"/>
  <c r="J50" i="9"/>
  <c r="I50" i="9"/>
  <c r="F50" i="9"/>
  <c r="R49" i="9"/>
  <c r="Q49" i="9"/>
  <c r="P49" i="9"/>
  <c r="N49" i="9"/>
  <c r="M49" i="9"/>
  <c r="L49" i="9"/>
  <c r="J49" i="9"/>
  <c r="I49" i="9"/>
  <c r="F49" i="9"/>
  <c r="R47" i="9"/>
  <c r="Q47" i="9"/>
  <c r="P47" i="9"/>
  <c r="N47" i="9"/>
  <c r="M47" i="9"/>
  <c r="L47" i="9"/>
  <c r="K47" i="9"/>
  <c r="J47" i="9"/>
  <c r="I47" i="9"/>
  <c r="R46" i="9"/>
  <c r="Q46" i="9"/>
  <c r="P46" i="9"/>
  <c r="N46" i="9"/>
  <c r="M46" i="9"/>
  <c r="L46" i="9"/>
  <c r="K46" i="9"/>
  <c r="J46" i="9"/>
  <c r="J45" i="9"/>
  <c r="I46" i="9"/>
  <c r="F46" i="9"/>
  <c r="P44" i="9"/>
  <c r="O44" i="9"/>
  <c r="N44" i="9"/>
  <c r="M44" i="9"/>
  <c r="L44" i="9"/>
  <c r="K44" i="9"/>
  <c r="J44" i="9"/>
  <c r="I44" i="9"/>
  <c r="F44" i="9"/>
  <c r="R43" i="9"/>
  <c r="P43" i="9"/>
  <c r="O43" i="9"/>
  <c r="N43" i="9"/>
  <c r="M43" i="9"/>
  <c r="L43" i="9"/>
  <c r="K43" i="9"/>
  <c r="J43" i="9"/>
  <c r="I43" i="9"/>
  <c r="F43" i="9"/>
  <c r="R42" i="9"/>
  <c r="Q42" i="9"/>
  <c r="P42" i="9"/>
  <c r="N42" i="9"/>
  <c r="M42" i="9"/>
  <c r="L42" i="9"/>
  <c r="K42" i="9"/>
  <c r="J42" i="9"/>
  <c r="I42" i="9"/>
  <c r="F42" i="9"/>
  <c r="R41" i="9"/>
  <c r="Q41" i="9"/>
  <c r="P41" i="9"/>
  <c r="N41" i="9"/>
  <c r="M41" i="9"/>
  <c r="L41" i="9"/>
  <c r="K41" i="9"/>
  <c r="J41" i="9"/>
  <c r="I41" i="9"/>
  <c r="F41" i="9"/>
  <c r="R40" i="9"/>
  <c r="Q40" i="9"/>
  <c r="P40" i="9"/>
  <c r="N40" i="9"/>
  <c r="M40" i="9"/>
  <c r="L40" i="9"/>
  <c r="K40" i="9"/>
  <c r="J40" i="9"/>
  <c r="I40" i="9"/>
  <c r="R39" i="9"/>
  <c r="Q39" i="9"/>
  <c r="P39" i="9"/>
  <c r="O39" i="9"/>
  <c r="N39" i="9"/>
  <c r="M39" i="9"/>
  <c r="L39" i="9"/>
  <c r="K39" i="9"/>
  <c r="J39" i="9"/>
  <c r="I39" i="9"/>
  <c r="F39" i="9"/>
  <c r="R38" i="9"/>
  <c r="Q38" i="9"/>
  <c r="P38" i="9"/>
  <c r="N38" i="9"/>
  <c r="M38" i="9"/>
  <c r="L38" i="9"/>
  <c r="J38" i="9"/>
  <c r="I38" i="9"/>
  <c r="F38" i="9"/>
  <c r="P37" i="9"/>
  <c r="N37" i="9"/>
  <c r="M37" i="9"/>
  <c r="L37" i="9"/>
  <c r="J37" i="9"/>
  <c r="I37" i="9"/>
  <c r="F37" i="9"/>
  <c r="P36" i="9"/>
  <c r="N36" i="9"/>
  <c r="M36" i="9"/>
  <c r="L36" i="9"/>
  <c r="J36" i="9"/>
  <c r="I36" i="9"/>
  <c r="F36" i="9"/>
  <c r="P35" i="9"/>
  <c r="N35" i="9"/>
  <c r="M35" i="9"/>
  <c r="L35" i="9"/>
  <c r="J35" i="9"/>
  <c r="I35" i="9"/>
  <c r="F35" i="9"/>
  <c r="R34" i="9"/>
  <c r="Q34" i="9"/>
  <c r="P34" i="9"/>
  <c r="N34" i="9"/>
  <c r="M34" i="9"/>
  <c r="L34" i="9"/>
  <c r="J34" i="9"/>
  <c r="I34" i="9"/>
  <c r="R33" i="9"/>
  <c r="P33" i="9"/>
  <c r="N33" i="9"/>
  <c r="M33" i="9"/>
  <c r="L33" i="9"/>
  <c r="J33" i="9"/>
  <c r="I33" i="9"/>
  <c r="F33" i="9"/>
  <c r="R32" i="9"/>
  <c r="P32" i="9"/>
  <c r="N32" i="9"/>
  <c r="L32" i="9"/>
  <c r="J32" i="9"/>
  <c r="F32" i="9"/>
  <c r="R76" i="8"/>
  <c r="Q76" i="8"/>
  <c r="P76" i="8"/>
  <c r="O76" i="8"/>
  <c r="N76" i="8"/>
  <c r="M76" i="8"/>
  <c r="L76" i="8"/>
  <c r="K76" i="8"/>
  <c r="J76" i="8"/>
  <c r="I76" i="8"/>
  <c r="F76" i="8"/>
  <c r="Q75" i="8"/>
  <c r="O75" i="8"/>
  <c r="N75" i="8"/>
  <c r="M75" i="8"/>
  <c r="L75" i="8"/>
  <c r="K75" i="8"/>
  <c r="J75" i="8"/>
  <c r="I75" i="8"/>
  <c r="Q74" i="8"/>
  <c r="P74" i="8"/>
  <c r="O74" i="8"/>
  <c r="M74" i="8"/>
  <c r="L74" i="8"/>
  <c r="K74" i="8"/>
  <c r="J74" i="8"/>
  <c r="I74" i="8"/>
  <c r="F74" i="8"/>
  <c r="Q73" i="8"/>
  <c r="O73" i="8"/>
  <c r="N73" i="8"/>
  <c r="M73" i="8"/>
  <c r="L73" i="8"/>
  <c r="K73" i="8"/>
  <c r="J73" i="8"/>
  <c r="I73" i="8"/>
  <c r="M72" i="8"/>
  <c r="L72" i="8"/>
  <c r="K72" i="8"/>
  <c r="J72" i="8"/>
  <c r="I72" i="8"/>
  <c r="R71" i="8"/>
  <c r="Q71" i="8"/>
  <c r="P71" i="8"/>
  <c r="O71" i="8"/>
  <c r="N71" i="8"/>
  <c r="M71" i="8"/>
  <c r="L71" i="8"/>
  <c r="K71" i="8"/>
  <c r="J71" i="8"/>
  <c r="I71" i="8"/>
  <c r="F71" i="8"/>
  <c r="Q70" i="8"/>
  <c r="O70" i="8"/>
  <c r="N70" i="8"/>
  <c r="M70" i="8"/>
  <c r="L70" i="8"/>
  <c r="K70" i="8"/>
  <c r="J70" i="8"/>
  <c r="I70" i="8"/>
  <c r="R69" i="8"/>
  <c r="Q69" i="8"/>
  <c r="O69" i="8"/>
  <c r="N69" i="8"/>
  <c r="M69" i="8"/>
  <c r="L69" i="8"/>
  <c r="K69" i="8"/>
  <c r="J69" i="8"/>
  <c r="I69" i="8"/>
  <c r="Q68" i="8"/>
  <c r="O68" i="8"/>
  <c r="N68" i="8"/>
  <c r="M68" i="8"/>
  <c r="L68" i="8"/>
  <c r="K68" i="8"/>
  <c r="J68" i="8"/>
  <c r="I68" i="8"/>
  <c r="R67" i="8"/>
  <c r="Q67" i="8"/>
  <c r="O67" i="8"/>
  <c r="N67" i="8"/>
  <c r="M67" i="8"/>
  <c r="L67" i="8"/>
  <c r="K67" i="8"/>
  <c r="J67" i="8"/>
  <c r="I67" i="8"/>
  <c r="Q66" i="8"/>
  <c r="P66" i="8"/>
  <c r="O66" i="8"/>
  <c r="M66" i="8"/>
  <c r="L66" i="8"/>
  <c r="K66" i="8"/>
  <c r="J66" i="8"/>
  <c r="I66" i="8"/>
  <c r="R65" i="8"/>
  <c r="Q65" i="8"/>
  <c r="P65" i="8"/>
  <c r="O65" i="8"/>
  <c r="N65" i="8"/>
  <c r="M65" i="8"/>
  <c r="L65" i="8"/>
  <c r="K65" i="8"/>
  <c r="J65" i="8"/>
  <c r="I65" i="8"/>
  <c r="R64" i="8"/>
  <c r="Q64" i="8"/>
  <c r="P64" i="8"/>
  <c r="O64" i="8"/>
  <c r="N64" i="8"/>
  <c r="M64" i="8"/>
  <c r="L64" i="8"/>
  <c r="K64" i="8"/>
  <c r="J64" i="8"/>
  <c r="I64" i="8"/>
  <c r="Q62" i="8"/>
  <c r="P62" i="8"/>
  <c r="O62" i="8"/>
  <c r="M62" i="8"/>
  <c r="L62" i="8"/>
  <c r="K62" i="8"/>
  <c r="J62" i="8"/>
  <c r="I62" i="8"/>
  <c r="R61" i="8"/>
  <c r="Q61" i="8"/>
  <c r="O61" i="8"/>
  <c r="N61" i="8"/>
  <c r="M61" i="8"/>
  <c r="L61" i="8"/>
  <c r="K61" i="8"/>
  <c r="J61" i="8"/>
  <c r="I61" i="8"/>
  <c r="R60" i="8"/>
  <c r="Q60" i="8"/>
  <c r="P60" i="8"/>
  <c r="O60" i="8"/>
  <c r="N60" i="8"/>
  <c r="M60" i="8"/>
  <c r="L60" i="8"/>
  <c r="K60" i="8"/>
  <c r="J60" i="8"/>
  <c r="I60" i="8"/>
  <c r="F60" i="8"/>
  <c r="Q59" i="8"/>
  <c r="O59" i="8"/>
  <c r="N59" i="8"/>
  <c r="M59" i="8"/>
  <c r="L59" i="8"/>
  <c r="K59" i="8"/>
  <c r="J59" i="8"/>
  <c r="I59" i="8"/>
  <c r="M58" i="8"/>
  <c r="L58" i="8"/>
  <c r="K58" i="8"/>
  <c r="J58" i="8"/>
  <c r="I58" i="8"/>
  <c r="R57" i="8"/>
  <c r="Q57" i="8"/>
  <c r="P57" i="8"/>
  <c r="O57" i="8"/>
  <c r="N57" i="8"/>
  <c r="M57" i="8"/>
  <c r="L57" i="8"/>
  <c r="K57" i="8"/>
  <c r="J57" i="8"/>
  <c r="I57" i="8"/>
  <c r="F57" i="8"/>
  <c r="Q56" i="8"/>
  <c r="O56" i="8"/>
  <c r="N56" i="8"/>
  <c r="M56" i="8"/>
  <c r="L56" i="8"/>
  <c r="K56" i="8"/>
  <c r="J56" i="8"/>
  <c r="I56" i="8"/>
  <c r="R55" i="8"/>
  <c r="Q55" i="8"/>
  <c r="O55" i="8"/>
  <c r="N55" i="8"/>
  <c r="M55" i="8"/>
  <c r="L55" i="8"/>
  <c r="K55" i="8"/>
  <c r="J55" i="8"/>
  <c r="I55" i="8"/>
  <c r="Q54" i="8"/>
  <c r="O54" i="8"/>
  <c r="N54" i="8"/>
  <c r="M54" i="8"/>
  <c r="L54" i="8"/>
  <c r="K54" i="8"/>
  <c r="J54" i="8"/>
  <c r="I54" i="8"/>
  <c r="R53" i="8"/>
  <c r="Q53" i="8"/>
  <c r="O53" i="8"/>
  <c r="N53" i="8"/>
  <c r="M53" i="8"/>
  <c r="L53" i="8"/>
  <c r="K53" i="8"/>
  <c r="J53" i="8"/>
  <c r="I53" i="8"/>
  <c r="R52" i="8"/>
  <c r="Q52" i="8"/>
  <c r="P52" i="8"/>
  <c r="O52" i="8"/>
  <c r="N52" i="8"/>
  <c r="M52" i="8"/>
  <c r="L52" i="8"/>
  <c r="K52" i="8"/>
  <c r="J52" i="8"/>
  <c r="I52" i="8"/>
  <c r="F52" i="8"/>
  <c r="R51" i="8"/>
  <c r="Q51" i="8"/>
  <c r="P51" i="8"/>
  <c r="O51" i="8"/>
  <c r="N51" i="8"/>
  <c r="M51" i="8"/>
  <c r="L51" i="8"/>
  <c r="K51" i="8"/>
  <c r="J51" i="8"/>
  <c r="I51" i="8"/>
  <c r="F51" i="8"/>
  <c r="R50" i="8"/>
  <c r="Q50" i="8"/>
  <c r="P50" i="8"/>
  <c r="O50" i="8"/>
  <c r="N50" i="8"/>
  <c r="M50" i="8"/>
  <c r="L50" i="8"/>
  <c r="K50" i="8"/>
  <c r="J50" i="8"/>
  <c r="I50" i="8"/>
  <c r="F50" i="8"/>
  <c r="R49" i="8"/>
  <c r="Q49" i="8"/>
  <c r="P49" i="8"/>
  <c r="O49" i="8"/>
  <c r="N49" i="8"/>
  <c r="M49" i="8"/>
  <c r="L49" i="8"/>
  <c r="K49" i="8"/>
  <c r="J49" i="8"/>
  <c r="I49" i="8"/>
  <c r="F49" i="8"/>
  <c r="R47" i="8"/>
  <c r="Q47" i="8"/>
  <c r="P47" i="8"/>
  <c r="O47" i="8"/>
  <c r="N47" i="8"/>
  <c r="M47" i="8"/>
  <c r="L47" i="8"/>
  <c r="K47" i="8"/>
  <c r="J47" i="8"/>
  <c r="I47" i="8"/>
  <c r="R46" i="8"/>
  <c r="Q46" i="8"/>
  <c r="P46" i="8"/>
  <c r="O46" i="8"/>
  <c r="N46" i="8"/>
  <c r="M46" i="8"/>
  <c r="L46" i="8"/>
  <c r="K46" i="8"/>
  <c r="J46" i="8"/>
  <c r="I46" i="8"/>
  <c r="R44" i="8"/>
  <c r="Q44" i="8"/>
  <c r="N44" i="8"/>
  <c r="M44" i="8"/>
  <c r="L44" i="8"/>
  <c r="J44" i="8"/>
  <c r="I44" i="8"/>
  <c r="R43" i="8"/>
  <c r="Q43" i="8"/>
  <c r="P43" i="8"/>
  <c r="N43" i="8"/>
  <c r="M43" i="8"/>
  <c r="L43" i="8"/>
  <c r="J43" i="8"/>
  <c r="I43" i="8"/>
  <c r="Q42" i="8"/>
  <c r="P42" i="8"/>
  <c r="M42" i="8"/>
  <c r="L42" i="8"/>
  <c r="J42" i="8"/>
  <c r="I42" i="8"/>
  <c r="Q41" i="8"/>
  <c r="P41" i="8"/>
  <c r="M41" i="8"/>
  <c r="L41" i="8"/>
  <c r="J41" i="8"/>
  <c r="I41" i="8"/>
  <c r="Q40" i="8"/>
  <c r="P40" i="8"/>
  <c r="N40" i="8"/>
  <c r="M40" i="8"/>
  <c r="L40" i="8"/>
  <c r="J40" i="8"/>
  <c r="I40" i="8"/>
  <c r="R39" i="8"/>
  <c r="Q39" i="8"/>
  <c r="P39" i="8"/>
  <c r="N39" i="8"/>
  <c r="M39" i="8"/>
  <c r="L39" i="8"/>
  <c r="J39" i="8"/>
  <c r="I39" i="8"/>
  <c r="Q38" i="8"/>
  <c r="P38" i="8"/>
  <c r="O38" i="8"/>
  <c r="M38" i="8"/>
  <c r="L38" i="8"/>
  <c r="K38" i="8"/>
  <c r="J38" i="8"/>
  <c r="I38" i="8"/>
  <c r="R37" i="8"/>
  <c r="Q37" i="8"/>
  <c r="P37" i="8"/>
  <c r="N37" i="8"/>
  <c r="M37" i="8"/>
  <c r="L37" i="8"/>
  <c r="J37" i="8"/>
  <c r="I37" i="8"/>
  <c r="R36" i="8"/>
  <c r="Q36" i="8"/>
  <c r="P36" i="8"/>
  <c r="N36" i="8"/>
  <c r="M36" i="8"/>
  <c r="L36" i="8"/>
  <c r="J36" i="8"/>
  <c r="I36" i="8"/>
  <c r="R35" i="8"/>
  <c r="Q35" i="8"/>
  <c r="N35" i="8"/>
  <c r="M35" i="8"/>
  <c r="L35" i="8"/>
  <c r="J35" i="8"/>
  <c r="I35" i="8"/>
  <c r="F35" i="8"/>
  <c r="Q34" i="8"/>
  <c r="P34" i="8"/>
  <c r="M34" i="8"/>
  <c r="L34" i="8"/>
  <c r="J34" i="8"/>
  <c r="I34" i="8"/>
  <c r="R33" i="8"/>
  <c r="Q33" i="8"/>
  <c r="N33" i="8"/>
  <c r="M33" i="8"/>
  <c r="L33" i="8"/>
  <c r="J33" i="8"/>
  <c r="I33" i="8"/>
  <c r="Q32" i="8"/>
  <c r="N32" i="8"/>
  <c r="M32" i="8"/>
  <c r="L32" i="8"/>
  <c r="J32" i="8"/>
  <c r="I32" i="8"/>
  <c r="F30" i="6"/>
  <c r="K63" i="8"/>
  <c r="J45" i="8"/>
  <c r="N45" i="8"/>
  <c r="K48" i="8"/>
  <c r="I48" i="8"/>
  <c r="L45" i="8"/>
  <c r="P45" i="8"/>
  <c r="M48" i="8"/>
  <c r="L45" i="9"/>
  <c r="Q45" i="9"/>
  <c r="L63" i="9"/>
  <c r="J63" i="9"/>
  <c r="N45" i="9"/>
  <c r="J48" i="9"/>
  <c r="O45" i="8"/>
  <c r="I31" i="8"/>
  <c r="L48" i="8"/>
  <c r="L63" i="8"/>
  <c r="K45" i="8"/>
  <c r="L48" i="9"/>
  <c r="I45" i="9"/>
  <c r="M45" i="9"/>
  <c r="M48" i="9"/>
  <c r="I63" i="9"/>
  <c r="M63" i="9"/>
  <c r="K45" i="9"/>
  <c r="P45" i="9"/>
  <c r="J48" i="8"/>
  <c r="I63" i="8"/>
  <c r="M63" i="8"/>
  <c r="J63" i="8"/>
  <c r="I45" i="8"/>
  <c r="M45" i="8"/>
  <c r="Q45" i="8"/>
  <c r="L31" i="8"/>
  <c r="J31" i="9"/>
  <c r="R45" i="9"/>
  <c r="O45" i="9"/>
  <c r="J31" i="8"/>
  <c r="I48" i="9"/>
  <c r="F45" i="8"/>
  <c r="R67" i="9"/>
  <c r="R68" i="9"/>
  <c r="R73" i="9"/>
  <c r="F45" i="9"/>
  <c r="R54" i="8"/>
  <c r="R56" i="8"/>
  <c r="R59" i="8"/>
  <c r="P31" i="8"/>
  <c r="Q53" i="9"/>
  <c r="Q67" i="9"/>
  <c r="Q69" i="9"/>
  <c r="Q55" i="9"/>
  <c r="Q54" i="9"/>
  <c r="F67" i="8"/>
  <c r="F53" i="8"/>
  <c r="P67" i="8"/>
  <c r="P53" i="8"/>
  <c r="F73" i="8"/>
  <c r="F59" i="8"/>
  <c r="P73" i="8"/>
  <c r="P59" i="8"/>
  <c r="F68" i="8"/>
  <c r="F54" i="8"/>
  <c r="P68" i="8"/>
  <c r="P54" i="8"/>
  <c r="F75" i="8"/>
  <c r="F61" i="8"/>
  <c r="P75" i="8"/>
  <c r="P61" i="8"/>
  <c r="F70" i="8"/>
  <c r="F56" i="8"/>
  <c r="P70" i="8"/>
  <c r="P56" i="8"/>
  <c r="F69" i="8"/>
  <c r="F55" i="8"/>
  <c r="P69" i="8"/>
  <c r="P55" i="8"/>
  <c r="R31" i="8"/>
  <c r="P31" i="9"/>
  <c r="O67" i="9"/>
  <c r="O53" i="9"/>
  <c r="N31" i="9"/>
  <c r="K74" i="9"/>
  <c r="K60" i="9"/>
  <c r="O74" i="9"/>
  <c r="O60" i="9"/>
  <c r="K66" i="9"/>
  <c r="K52" i="9"/>
  <c r="O66" i="9"/>
  <c r="O52" i="9"/>
  <c r="K65" i="9"/>
  <c r="K51" i="9"/>
  <c r="O65" i="9"/>
  <c r="O51" i="9"/>
  <c r="K64" i="9"/>
  <c r="K50" i="9"/>
  <c r="O64" i="9"/>
  <c r="O50" i="9"/>
  <c r="K71" i="9"/>
  <c r="K57" i="9"/>
  <c r="O71" i="9"/>
  <c r="O57" i="9"/>
  <c r="K67" i="9"/>
  <c r="K53" i="9"/>
  <c r="K68" i="9"/>
  <c r="K54" i="9"/>
  <c r="O75" i="9"/>
  <c r="O61" i="9"/>
  <c r="K73" i="9"/>
  <c r="K59" i="9"/>
  <c r="O73" i="9"/>
  <c r="O59" i="9"/>
  <c r="K70" i="9"/>
  <c r="K56" i="9"/>
  <c r="O70" i="9"/>
  <c r="O56" i="9"/>
  <c r="K69" i="9"/>
  <c r="K55" i="9"/>
  <c r="O69" i="9"/>
  <c r="O55" i="9"/>
  <c r="O68" i="9"/>
  <c r="O54" i="9"/>
  <c r="K75" i="9"/>
  <c r="K61" i="9"/>
  <c r="L31" i="9"/>
  <c r="K76" i="9"/>
  <c r="K62" i="9"/>
  <c r="O76" i="9"/>
  <c r="O62" i="9"/>
  <c r="R31" i="9"/>
  <c r="I31" i="9"/>
  <c r="M31" i="9"/>
  <c r="Q31" i="9"/>
  <c r="F31" i="9"/>
  <c r="O31" i="9"/>
  <c r="K31" i="9"/>
  <c r="K31" i="8"/>
  <c r="O31" i="8"/>
  <c r="N31" i="8"/>
  <c r="M31" i="8"/>
  <c r="R45" i="8"/>
  <c r="Q31" i="8"/>
  <c r="F38" i="8"/>
  <c r="F31" i="8"/>
  <c r="F35" i="6"/>
  <c r="F19" i="6"/>
  <c r="F42" i="6"/>
  <c r="I19" i="6"/>
  <c r="I42" i="6"/>
  <c r="J19" i="6"/>
  <c r="J42" i="6"/>
  <c r="K19" i="6"/>
  <c r="K42" i="6"/>
  <c r="M19" i="6"/>
  <c r="M42" i="6"/>
  <c r="L19" i="6"/>
  <c r="L42" i="6"/>
  <c r="K48" i="9"/>
  <c r="K63" i="9"/>
  <c r="F29" i="6"/>
  <c r="F28" i="6"/>
  <c r="F43" i="6"/>
  <c r="F27" i="6"/>
  <c r="F26" i="6"/>
  <c r="F36" i="6"/>
  <c r="F25" i="6"/>
  <c r="F24" i="6"/>
  <c r="F23" i="6"/>
  <c r="F49" i="6"/>
  <c r="F22" i="6"/>
  <c r="F37" i="6"/>
  <c r="F21" i="6"/>
  <c r="F20" i="6"/>
  <c r="F18" i="6"/>
  <c r="F17" i="6"/>
  <c r="F16" i="6"/>
  <c r="F15" i="6"/>
  <c r="F44" i="6"/>
  <c r="F14" i="6"/>
  <c r="F34" i="6"/>
  <c r="F13" i="6"/>
  <c r="F33" i="6"/>
  <c r="F12" i="6"/>
  <c r="F11" i="6"/>
  <c r="F39" i="6"/>
  <c r="F10" i="6"/>
  <c r="F46" i="6"/>
  <c r="F9" i="6"/>
  <c r="F8" i="6"/>
  <c r="F41" i="6"/>
  <c r="F7" i="6"/>
  <c r="F6" i="6"/>
  <c r="F47" i="6"/>
  <c r="F5" i="6"/>
  <c r="F4" i="6"/>
  <c r="F40" i="6"/>
  <c r="F3" i="6"/>
  <c r="F32" i="6"/>
  <c r="F2" i="6"/>
  <c r="F38" i="6"/>
  <c r="R2" i="6"/>
  <c r="R38" i="6"/>
  <c r="R30" i="6"/>
  <c r="R35" i="6"/>
  <c r="Q30" i="6"/>
  <c r="Q35" i="6"/>
  <c r="P30" i="6"/>
  <c r="P35" i="6"/>
  <c r="O30" i="6"/>
  <c r="O35" i="6"/>
  <c r="N30" i="6"/>
  <c r="N35" i="6"/>
  <c r="R29" i="6"/>
  <c r="Q29" i="6"/>
  <c r="P29" i="6"/>
  <c r="O29" i="6"/>
  <c r="N29" i="6"/>
  <c r="R28" i="6"/>
  <c r="R43" i="6"/>
  <c r="Q28" i="6"/>
  <c r="Q43" i="6"/>
  <c r="P28" i="6"/>
  <c r="P43" i="6"/>
  <c r="O28" i="6"/>
  <c r="O43" i="6"/>
  <c r="N28" i="6"/>
  <c r="N43" i="6"/>
  <c r="R27" i="6"/>
  <c r="Q27" i="6"/>
  <c r="P27" i="6"/>
  <c r="O27" i="6"/>
  <c r="N27" i="6"/>
  <c r="R26" i="6"/>
  <c r="R36" i="6"/>
  <c r="Q26" i="6"/>
  <c r="Q36" i="6"/>
  <c r="P26" i="6"/>
  <c r="P36" i="6"/>
  <c r="O26" i="6"/>
  <c r="O36" i="6"/>
  <c r="N26" i="6"/>
  <c r="N36" i="6"/>
  <c r="R25" i="6"/>
  <c r="Q25" i="6"/>
  <c r="P25" i="6"/>
  <c r="O25" i="6"/>
  <c r="N25" i="6"/>
  <c r="R24" i="6"/>
  <c r="Q24" i="6"/>
  <c r="P24" i="6"/>
  <c r="O24" i="6"/>
  <c r="N24" i="6"/>
  <c r="R23" i="6"/>
  <c r="R49" i="6"/>
  <c r="Q23" i="6"/>
  <c r="Q49" i="6"/>
  <c r="P23" i="6"/>
  <c r="P49" i="6"/>
  <c r="O23" i="6"/>
  <c r="O49" i="6"/>
  <c r="N23" i="6"/>
  <c r="N49" i="6"/>
  <c r="R22" i="6"/>
  <c r="R37" i="6"/>
  <c r="Q22" i="6"/>
  <c r="Q37" i="6"/>
  <c r="P22" i="6"/>
  <c r="P37" i="6"/>
  <c r="O22" i="6"/>
  <c r="O37" i="6"/>
  <c r="N22" i="6"/>
  <c r="N37" i="6"/>
  <c r="R21" i="6"/>
  <c r="Q21" i="6"/>
  <c r="P21" i="6"/>
  <c r="O21" i="6"/>
  <c r="N21" i="6"/>
  <c r="R20" i="6"/>
  <c r="Q20" i="6"/>
  <c r="P20" i="6"/>
  <c r="O20" i="6"/>
  <c r="N20" i="6"/>
  <c r="R19" i="6"/>
  <c r="R42" i="6"/>
  <c r="Q19" i="6"/>
  <c r="Q42" i="6"/>
  <c r="P19" i="6"/>
  <c r="P42" i="6"/>
  <c r="O19" i="6"/>
  <c r="O42" i="6"/>
  <c r="N19" i="6"/>
  <c r="N42" i="6"/>
  <c r="R18" i="6"/>
  <c r="Q18" i="6"/>
  <c r="P18" i="6"/>
  <c r="O18" i="6"/>
  <c r="N18" i="6"/>
  <c r="R17" i="6"/>
  <c r="Q17" i="6"/>
  <c r="P17" i="6"/>
  <c r="O17" i="6"/>
  <c r="N17" i="6"/>
  <c r="R16" i="6"/>
  <c r="Q16" i="6"/>
  <c r="P16" i="6"/>
  <c r="O16" i="6"/>
  <c r="N16" i="6"/>
  <c r="R15" i="6"/>
  <c r="R44" i="6"/>
  <c r="Q15" i="6"/>
  <c r="Q44" i="6"/>
  <c r="P15" i="6"/>
  <c r="P44" i="6"/>
  <c r="O15" i="6"/>
  <c r="O44" i="6"/>
  <c r="N15" i="6"/>
  <c r="N44" i="6"/>
  <c r="R14" i="6"/>
  <c r="R34" i="6"/>
  <c r="Q14" i="6"/>
  <c r="Q34" i="6"/>
  <c r="P14" i="6"/>
  <c r="P34" i="6"/>
  <c r="O14" i="6"/>
  <c r="O34" i="6"/>
  <c r="N14" i="6"/>
  <c r="N34" i="6"/>
  <c r="R13" i="6"/>
  <c r="R33" i="6"/>
  <c r="Q13" i="6"/>
  <c r="Q33" i="6"/>
  <c r="P13" i="6"/>
  <c r="P33" i="6"/>
  <c r="O13" i="6"/>
  <c r="O33" i="6"/>
  <c r="N13" i="6"/>
  <c r="N33" i="6"/>
  <c r="R12" i="6"/>
  <c r="Q12" i="6"/>
  <c r="P12" i="6"/>
  <c r="O12" i="6"/>
  <c r="N12" i="6"/>
  <c r="R11" i="6"/>
  <c r="R39" i="6"/>
  <c r="Q11" i="6"/>
  <c r="Q39" i="6"/>
  <c r="P11" i="6"/>
  <c r="P39" i="6"/>
  <c r="O11" i="6"/>
  <c r="O39" i="6"/>
  <c r="N11" i="6"/>
  <c r="N39" i="6"/>
  <c r="R10" i="6"/>
  <c r="R46" i="6"/>
  <c r="Q10" i="6"/>
  <c r="Q46" i="6"/>
  <c r="P10" i="6"/>
  <c r="P46" i="6"/>
  <c r="O10" i="6"/>
  <c r="O46" i="6"/>
  <c r="N10" i="6"/>
  <c r="N46" i="6"/>
  <c r="R9" i="6"/>
  <c r="Q9" i="6"/>
  <c r="P9" i="6"/>
  <c r="O9" i="6"/>
  <c r="N9" i="6"/>
  <c r="R8" i="6"/>
  <c r="R41" i="6"/>
  <c r="Q8" i="6"/>
  <c r="Q41" i="6"/>
  <c r="P8" i="6"/>
  <c r="P41" i="6"/>
  <c r="O8" i="6"/>
  <c r="O41" i="6"/>
  <c r="N8" i="6"/>
  <c r="N41" i="6"/>
  <c r="R7" i="6"/>
  <c r="Q7" i="6"/>
  <c r="P7" i="6"/>
  <c r="O7" i="6"/>
  <c r="N7" i="6"/>
  <c r="R6" i="6"/>
  <c r="R47" i="6"/>
  <c r="Q6" i="6"/>
  <c r="Q47" i="6"/>
  <c r="P6" i="6"/>
  <c r="P47" i="6"/>
  <c r="O6" i="6"/>
  <c r="O47" i="6"/>
  <c r="N6" i="6"/>
  <c r="N47" i="6"/>
  <c r="R5" i="6"/>
  <c r="Q5" i="6"/>
  <c r="P5" i="6"/>
  <c r="O5" i="6"/>
  <c r="N5" i="6"/>
  <c r="R4" i="6"/>
  <c r="R40" i="6"/>
  <c r="Q4" i="6"/>
  <c r="Q40" i="6"/>
  <c r="P4" i="6"/>
  <c r="P40" i="6"/>
  <c r="O4" i="6"/>
  <c r="O40" i="6"/>
  <c r="N4" i="6"/>
  <c r="N40" i="6"/>
  <c r="R3" i="6"/>
  <c r="R32" i="6"/>
  <c r="Q3" i="6"/>
  <c r="Q32" i="6"/>
  <c r="P3" i="6"/>
  <c r="P32" i="6"/>
  <c r="O3" i="6"/>
  <c r="O32" i="6"/>
  <c r="N3" i="6"/>
  <c r="N32" i="6"/>
  <c r="Q2" i="6"/>
  <c r="Q38" i="6"/>
  <c r="P2" i="6"/>
  <c r="P38" i="6"/>
  <c r="O2" i="6"/>
  <c r="O38" i="6"/>
  <c r="N2" i="6"/>
  <c r="N38" i="6"/>
  <c r="M30" i="6"/>
  <c r="M35" i="6"/>
  <c r="L30" i="6"/>
  <c r="L35" i="6"/>
  <c r="K30" i="6"/>
  <c r="K35" i="6"/>
  <c r="J30" i="6"/>
  <c r="J35" i="6"/>
  <c r="I30" i="6"/>
  <c r="I35" i="6"/>
  <c r="M29" i="6"/>
  <c r="L29" i="6"/>
  <c r="K29" i="6"/>
  <c r="J29" i="6"/>
  <c r="I29" i="6"/>
  <c r="M28" i="6"/>
  <c r="M43" i="6"/>
  <c r="L28" i="6"/>
  <c r="L43" i="6"/>
  <c r="K28" i="6"/>
  <c r="K43" i="6"/>
  <c r="J28" i="6"/>
  <c r="J43" i="6"/>
  <c r="I28" i="6"/>
  <c r="I43" i="6"/>
  <c r="M27" i="6"/>
  <c r="L27" i="6"/>
  <c r="K27" i="6"/>
  <c r="J27" i="6"/>
  <c r="I27" i="6"/>
  <c r="M26" i="6"/>
  <c r="M36" i="6"/>
  <c r="L26" i="6"/>
  <c r="L36" i="6"/>
  <c r="K26" i="6"/>
  <c r="K36" i="6"/>
  <c r="J26" i="6"/>
  <c r="J36" i="6"/>
  <c r="I26" i="6"/>
  <c r="I36" i="6"/>
  <c r="M25" i="6"/>
  <c r="L25" i="6"/>
  <c r="K25" i="6"/>
  <c r="J25" i="6"/>
  <c r="I25" i="6"/>
  <c r="M24" i="6"/>
  <c r="L24" i="6"/>
  <c r="K24" i="6"/>
  <c r="J24" i="6"/>
  <c r="I24" i="6"/>
  <c r="M23" i="6"/>
  <c r="M49" i="6"/>
  <c r="L23" i="6"/>
  <c r="L49" i="6"/>
  <c r="K23" i="6"/>
  <c r="K49" i="6"/>
  <c r="J23" i="6"/>
  <c r="J49" i="6"/>
  <c r="I23" i="6"/>
  <c r="I49" i="6"/>
  <c r="M22" i="6"/>
  <c r="M37" i="6"/>
  <c r="L22" i="6"/>
  <c r="L37" i="6"/>
  <c r="K22" i="6"/>
  <c r="K37" i="6"/>
  <c r="J22" i="6"/>
  <c r="J37" i="6"/>
  <c r="I22" i="6"/>
  <c r="I37" i="6"/>
  <c r="M21" i="6"/>
  <c r="L21" i="6"/>
  <c r="K21" i="6"/>
  <c r="J21" i="6"/>
  <c r="I21" i="6"/>
  <c r="M20" i="6"/>
  <c r="L20" i="6"/>
  <c r="K20" i="6"/>
  <c r="J20" i="6"/>
  <c r="I20" i="6"/>
  <c r="M18" i="6"/>
  <c r="L18" i="6"/>
  <c r="K18" i="6"/>
  <c r="J18" i="6"/>
  <c r="I18" i="6"/>
  <c r="M17" i="6"/>
  <c r="L17" i="6"/>
  <c r="K17" i="6"/>
  <c r="J17" i="6"/>
  <c r="I17" i="6"/>
  <c r="M16" i="6"/>
  <c r="L16" i="6"/>
  <c r="K16" i="6"/>
  <c r="J16" i="6"/>
  <c r="I16" i="6"/>
  <c r="M15" i="6"/>
  <c r="M44" i="6"/>
  <c r="L15" i="6"/>
  <c r="L44" i="6"/>
  <c r="K15" i="6"/>
  <c r="K44" i="6"/>
  <c r="J15" i="6"/>
  <c r="J44" i="6"/>
  <c r="I15" i="6"/>
  <c r="I44" i="6"/>
  <c r="M14" i="6"/>
  <c r="M34" i="6"/>
  <c r="L14" i="6"/>
  <c r="L34" i="6"/>
  <c r="K14" i="6"/>
  <c r="K34" i="6"/>
  <c r="J14" i="6"/>
  <c r="J34" i="6"/>
  <c r="I14" i="6"/>
  <c r="I34" i="6"/>
  <c r="M13" i="6"/>
  <c r="M33" i="6"/>
  <c r="L13" i="6"/>
  <c r="L33" i="6"/>
  <c r="K13" i="6"/>
  <c r="K33" i="6"/>
  <c r="J13" i="6"/>
  <c r="J33" i="6"/>
  <c r="I13" i="6"/>
  <c r="I33" i="6"/>
  <c r="M12" i="6"/>
  <c r="L12" i="6"/>
  <c r="K12" i="6"/>
  <c r="J12" i="6"/>
  <c r="I12" i="6"/>
  <c r="M11" i="6"/>
  <c r="M39" i="6"/>
  <c r="L11" i="6"/>
  <c r="L39" i="6"/>
  <c r="K11" i="6"/>
  <c r="K39" i="6"/>
  <c r="J11" i="6"/>
  <c r="J39" i="6"/>
  <c r="I11" i="6"/>
  <c r="I39" i="6"/>
  <c r="M10" i="6"/>
  <c r="M46" i="6"/>
  <c r="L10" i="6"/>
  <c r="L46" i="6"/>
  <c r="K10" i="6"/>
  <c r="K46" i="6"/>
  <c r="J10" i="6"/>
  <c r="J46" i="6"/>
  <c r="I10" i="6"/>
  <c r="I46" i="6"/>
  <c r="M9" i="6"/>
  <c r="L9" i="6"/>
  <c r="K9" i="6"/>
  <c r="J9" i="6"/>
  <c r="I9" i="6"/>
  <c r="M8" i="6"/>
  <c r="M41" i="6"/>
  <c r="L8" i="6"/>
  <c r="L41" i="6"/>
  <c r="K8" i="6"/>
  <c r="K41" i="6"/>
  <c r="J8" i="6"/>
  <c r="J41" i="6"/>
  <c r="I8" i="6"/>
  <c r="I41" i="6"/>
  <c r="M7" i="6"/>
  <c r="L7" i="6"/>
  <c r="K7" i="6"/>
  <c r="J7" i="6"/>
  <c r="I7" i="6"/>
  <c r="M6" i="6"/>
  <c r="M47" i="6"/>
  <c r="L6" i="6"/>
  <c r="L47" i="6"/>
  <c r="K6" i="6"/>
  <c r="K47" i="6"/>
  <c r="J6" i="6"/>
  <c r="J47" i="6"/>
  <c r="I6" i="6"/>
  <c r="I47" i="6"/>
  <c r="M5" i="6"/>
  <c r="L5" i="6"/>
  <c r="K5" i="6"/>
  <c r="J5" i="6"/>
  <c r="I5" i="6"/>
  <c r="M4" i="6"/>
  <c r="M40" i="6"/>
  <c r="L4" i="6"/>
  <c r="L40" i="6"/>
  <c r="K4" i="6"/>
  <c r="K40" i="6"/>
  <c r="J4" i="6"/>
  <c r="J40" i="6"/>
  <c r="I4" i="6"/>
  <c r="I40" i="6"/>
  <c r="M3" i="6"/>
  <c r="M32" i="6"/>
  <c r="M2" i="6"/>
  <c r="M38" i="6"/>
  <c r="M31" i="6"/>
  <c r="L3" i="6"/>
  <c r="L32" i="6"/>
  <c r="L2" i="6"/>
  <c r="L38" i="6"/>
  <c r="L31" i="6"/>
  <c r="K3" i="6"/>
  <c r="K32" i="6"/>
  <c r="K2" i="6"/>
  <c r="K38" i="6"/>
  <c r="K31" i="6"/>
  <c r="J3" i="6"/>
  <c r="J32" i="6"/>
  <c r="J2" i="6"/>
  <c r="J38" i="6"/>
  <c r="J31" i="6"/>
  <c r="I3" i="6"/>
  <c r="I32" i="6"/>
  <c r="I2" i="6"/>
  <c r="I38" i="6"/>
  <c r="I31" i="6"/>
  <c r="BF2" i="38"/>
  <c r="BF3" i="38"/>
  <c r="BF4" i="38"/>
  <c r="BF5" i="38"/>
  <c r="K68" i="6"/>
  <c r="K54" i="6"/>
  <c r="L58" i="6"/>
  <c r="L72" i="6"/>
  <c r="M73" i="6"/>
  <c r="M59" i="6"/>
  <c r="I45" i="6"/>
  <c r="I66" i="6"/>
  <c r="I52" i="6"/>
  <c r="J66" i="6"/>
  <c r="J52" i="6"/>
  <c r="I75" i="6"/>
  <c r="I61" i="6"/>
  <c r="I51" i="6"/>
  <c r="I65" i="6"/>
  <c r="M74" i="6"/>
  <c r="M60" i="6"/>
  <c r="L68" i="6"/>
  <c r="L54" i="6"/>
  <c r="M72" i="6"/>
  <c r="M58" i="6"/>
  <c r="M70" i="6"/>
  <c r="M56" i="6"/>
  <c r="K45" i="6"/>
  <c r="K52" i="6"/>
  <c r="K66" i="6"/>
  <c r="J75" i="6"/>
  <c r="J61" i="6"/>
  <c r="J65" i="6"/>
  <c r="J51" i="6"/>
  <c r="L45" i="6"/>
  <c r="L52" i="6"/>
  <c r="L66" i="6"/>
  <c r="K75" i="6"/>
  <c r="K61" i="6"/>
  <c r="K65" i="6"/>
  <c r="K51" i="6"/>
  <c r="I62" i="6"/>
  <c r="I76" i="6"/>
  <c r="I71" i="6"/>
  <c r="I57" i="6"/>
  <c r="I53" i="6"/>
  <c r="I67" i="6"/>
  <c r="M45" i="6"/>
  <c r="M52" i="6"/>
  <c r="M50" i="6"/>
  <c r="M51" i="6"/>
  <c r="M53" i="6"/>
  <c r="M54" i="6"/>
  <c r="M55" i="6"/>
  <c r="M61" i="6"/>
  <c r="M62" i="6"/>
  <c r="M48" i="6"/>
  <c r="M66" i="6"/>
  <c r="L75" i="6"/>
  <c r="L61" i="6"/>
  <c r="L65" i="6"/>
  <c r="L51" i="6"/>
  <c r="I55" i="6"/>
  <c r="I69" i="6"/>
  <c r="J76" i="6"/>
  <c r="J62" i="6"/>
  <c r="J71" i="6"/>
  <c r="J57" i="6"/>
  <c r="K70" i="6"/>
  <c r="K56" i="6"/>
  <c r="M64" i="6"/>
  <c r="L70" i="6"/>
  <c r="L56" i="6"/>
  <c r="M68" i="6"/>
  <c r="J45" i="6"/>
  <c r="J53" i="6"/>
  <c r="J50" i="6"/>
  <c r="J54" i="6"/>
  <c r="J55" i="6"/>
  <c r="J56" i="6"/>
  <c r="J58" i="6"/>
  <c r="J59" i="6"/>
  <c r="J48" i="6"/>
  <c r="J67" i="6"/>
  <c r="I60" i="6"/>
  <c r="I74" i="6"/>
  <c r="M75" i="6"/>
  <c r="M65" i="6"/>
  <c r="J69" i="6"/>
  <c r="I50" i="6"/>
  <c r="I64" i="6"/>
  <c r="K62" i="6"/>
  <c r="K76" i="6"/>
  <c r="K57" i="6"/>
  <c r="K71" i="6"/>
  <c r="K55" i="6"/>
  <c r="K69" i="6"/>
  <c r="J64" i="6"/>
  <c r="L62" i="6"/>
  <c r="L76" i="6"/>
  <c r="L57" i="6"/>
  <c r="L71" i="6"/>
  <c r="L59" i="6"/>
  <c r="L73" i="6"/>
  <c r="I73" i="6"/>
  <c r="I59" i="6"/>
  <c r="J60" i="6"/>
  <c r="J74" i="6"/>
  <c r="L67" i="6"/>
  <c r="L53" i="6"/>
  <c r="J73" i="6"/>
  <c r="J72" i="6"/>
  <c r="I56" i="6"/>
  <c r="I70" i="6"/>
  <c r="L55" i="6"/>
  <c r="L69" i="6"/>
  <c r="K50" i="6"/>
  <c r="K64" i="6"/>
  <c r="M76" i="6"/>
  <c r="M57" i="6"/>
  <c r="M71" i="6"/>
  <c r="K53" i="6"/>
  <c r="K67" i="6"/>
  <c r="I58" i="6"/>
  <c r="I72" i="6"/>
  <c r="I68" i="6"/>
  <c r="I54" i="6"/>
  <c r="K60" i="6"/>
  <c r="K74" i="6"/>
  <c r="M67" i="6"/>
  <c r="K73" i="6"/>
  <c r="K59" i="6"/>
  <c r="J68" i="6"/>
  <c r="L60" i="6"/>
  <c r="L74" i="6"/>
  <c r="K72" i="6"/>
  <c r="K58" i="6"/>
  <c r="J70" i="6"/>
  <c r="M69" i="6"/>
  <c r="L50" i="6"/>
  <c r="L64" i="6"/>
  <c r="Q31" i="6"/>
  <c r="R59" i="6"/>
  <c r="R73" i="6"/>
  <c r="Q67" i="6"/>
  <c r="Q53" i="6"/>
  <c r="O73" i="6"/>
  <c r="O59" i="6"/>
  <c r="Q68" i="6"/>
  <c r="Q54" i="6"/>
  <c r="Q45" i="6"/>
  <c r="O74" i="6"/>
  <c r="O60" i="6"/>
  <c r="P58" i="6"/>
  <c r="P72" i="6"/>
  <c r="O66" i="6"/>
  <c r="O52" i="6"/>
  <c r="O75" i="6"/>
  <c r="O61" i="6"/>
  <c r="Q70" i="6"/>
  <c r="Q56" i="6"/>
  <c r="P51" i="6"/>
  <c r="P65" i="6"/>
  <c r="P55" i="6"/>
  <c r="P69" i="6"/>
  <c r="N50" i="6"/>
  <c r="N64" i="6"/>
  <c r="R50" i="6"/>
  <c r="R64" i="6"/>
  <c r="Q76" i="6"/>
  <c r="Q62" i="6"/>
  <c r="O71" i="6"/>
  <c r="O57" i="6"/>
  <c r="F58" i="6"/>
  <c r="F72" i="6"/>
  <c r="F71" i="6"/>
  <c r="F57" i="6"/>
  <c r="P53" i="6"/>
  <c r="P67" i="6"/>
  <c r="O31" i="6"/>
  <c r="N53" i="6"/>
  <c r="N67" i="6"/>
  <c r="R53" i="6"/>
  <c r="R67" i="6"/>
  <c r="P59" i="6"/>
  <c r="P73" i="6"/>
  <c r="N54" i="6"/>
  <c r="N68" i="6"/>
  <c r="R54" i="6"/>
  <c r="R68" i="6"/>
  <c r="N45" i="6"/>
  <c r="R45" i="6"/>
  <c r="P60" i="6"/>
  <c r="P74" i="6"/>
  <c r="P31" i="6"/>
  <c r="Q72" i="6"/>
  <c r="Q58" i="6"/>
  <c r="P52" i="6"/>
  <c r="P66" i="6"/>
  <c r="P75" i="6"/>
  <c r="P61" i="6"/>
  <c r="N56" i="6"/>
  <c r="N70" i="6"/>
  <c r="R56" i="6"/>
  <c r="R70" i="6"/>
  <c r="Q65" i="6"/>
  <c r="Q51" i="6"/>
  <c r="Q69" i="6"/>
  <c r="Q55" i="6"/>
  <c r="O64" i="6"/>
  <c r="O50" i="6"/>
  <c r="N76" i="6"/>
  <c r="N62" i="6"/>
  <c r="R76" i="6"/>
  <c r="R62" i="6"/>
  <c r="P57" i="6"/>
  <c r="P71" i="6"/>
  <c r="N31" i="6"/>
  <c r="R31" i="6"/>
  <c r="F73" i="6"/>
  <c r="F59" i="6"/>
  <c r="F74" i="6"/>
  <c r="F60" i="6"/>
  <c r="F66" i="6"/>
  <c r="F52" i="6"/>
  <c r="F75" i="6"/>
  <c r="F61" i="6"/>
  <c r="F50" i="6"/>
  <c r="F64" i="6"/>
  <c r="N59" i="6"/>
  <c r="N73" i="6"/>
  <c r="O53" i="6"/>
  <c r="O67" i="6"/>
  <c r="P45" i="6"/>
  <c r="Q73" i="6"/>
  <c r="Q59" i="6"/>
  <c r="O68" i="6"/>
  <c r="O54" i="6"/>
  <c r="O45" i="6"/>
  <c r="Q74" i="6"/>
  <c r="Q60" i="6"/>
  <c r="N58" i="6"/>
  <c r="N72" i="6"/>
  <c r="R58" i="6"/>
  <c r="R72" i="6"/>
  <c r="Q66" i="6"/>
  <c r="Q52" i="6"/>
  <c r="Q75" i="6"/>
  <c r="Q61" i="6"/>
  <c r="O70" i="6"/>
  <c r="O56" i="6"/>
  <c r="N51" i="6"/>
  <c r="N65" i="6"/>
  <c r="R51" i="6"/>
  <c r="R65" i="6"/>
  <c r="N55" i="6"/>
  <c r="N69" i="6"/>
  <c r="R55" i="6"/>
  <c r="R69" i="6"/>
  <c r="P50" i="6"/>
  <c r="P64" i="6"/>
  <c r="O62" i="6"/>
  <c r="O76" i="6"/>
  <c r="Q71" i="6"/>
  <c r="Q57" i="6"/>
  <c r="F31" i="6"/>
  <c r="F70" i="6"/>
  <c r="F56" i="6"/>
  <c r="F62" i="6"/>
  <c r="F76" i="6"/>
  <c r="P54" i="6"/>
  <c r="P68" i="6"/>
  <c r="N60" i="6"/>
  <c r="N74" i="6"/>
  <c r="R60" i="6"/>
  <c r="R74" i="6"/>
  <c r="O72" i="6"/>
  <c r="O58" i="6"/>
  <c r="N52" i="6"/>
  <c r="N66" i="6"/>
  <c r="R52" i="6"/>
  <c r="R66" i="6"/>
  <c r="N61" i="6"/>
  <c r="N75" i="6"/>
  <c r="R61" i="6"/>
  <c r="R75" i="6"/>
  <c r="P56" i="6"/>
  <c r="P70" i="6"/>
  <c r="O65" i="6"/>
  <c r="O51" i="6"/>
  <c r="O69" i="6"/>
  <c r="O55" i="6"/>
  <c r="Q50" i="6"/>
  <c r="Q64" i="6"/>
  <c r="P76" i="6"/>
  <c r="P62" i="6"/>
  <c r="N57" i="6"/>
  <c r="N71" i="6"/>
  <c r="R57" i="6"/>
  <c r="R71" i="6"/>
  <c r="F67" i="6"/>
  <c r="F53" i="6"/>
  <c r="F54" i="6"/>
  <c r="F68" i="6"/>
  <c r="F45" i="6"/>
  <c r="F65" i="6"/>
  <c r="F51" i="6"/>
  <c r="F55" i="6"/>
  <c r="F69" i="6"/>
  <c r="K48" i="6"/>
  <c r="I48" i="6"/>
  <c r="L48" i="6"/>
  <c r="I63" i="6"/>
  <c r="L63" i="6"/>
  <c r="J63" i="6"/>
  <c r="K63" i="6"/>
  <c r="M63" i="6"/>
  <c r="P48" i="6"/>
  <c r="R48" i="6"/>
  <c r="Q48" i="6"/>
  <c r="N48" i="6"/>
  <c r="F48" i="6"/>
  <c r="F72" i="8"/>
  <c r="F63" i="8"/>
  <c r="F58" i="8"/>
  <c r="F48" i="8"/>
  <c r="R72" i="9"/>
  <c r="R63" i="9"/>
  <c r="R58" i="9"/>
  <c r="R48" i="9"/>
  <c r="N72" i="8"/>
  <c r="N63" i="8"/>
  <c r="N58" i="8"/>
  <c r="N48" i="8"/>
  <c r="R58" i="8"/>
  <c r="R48" i="8"/>
  <c r="R72" i="8"/>
  <c r="R63" i="8"/>
  <c r="F58" i="9"/>
  <c r="F48" i="9"/>
  <c r="F72" i="9"/>
  <c r="F63" i="9"/>
  <c r="P58" i="9"/>
  <c r="P48" i="9"/>
  <c r="P72" i="9"/>
  <c r="P63" i="9"/>
  <c r="P72" i="8"/>
  <c r="P63" i="8"/>
  <c r="P58" i="8"/>
  <c r="P48" i="8"/>
  <c r="O72" i="8"/>
  <c r="O63" i="8"/>
  <c r="O58" i="8"/>
  <c r="O48" i="8"/>
  <c r="Q58" i="9"/>
  <c r="Q48" i="9"/>
  <c r="Q72" i="9"/>
  <c r="Q63" i="9"/>
  <c r="N72" i="9"/>
  <c r="N63" i="9"/>
  <c r="N58" i="9"/>
  <c r="N48" i="9"/>
  <c r="Q72" i="8"/>
  <c r="Q63" i="8"/>
  <c r="Q58" i="8"/>
  <c r="Q48" i="8"/>
  <c r="O72" i="9"/>
  <c r="O63" i="9"/>
  <c r="O58" i="9"/>
  <c r="O48" i="9"/>
  <c r="F63" i="6"/>
  <c r="O48" i="6"/>
  <c r="R63" i="6"/>
  <c r="O63" i="6"/>
  <c r="P63" i="6"/>
  <c r="N63" i="6"/>
  <c r="Q63" i="6"/>
  <c r="BF30" i="38"/>
  <c r="BF29" i="38"/>
  <c r="BF28" i="38"/>
  <c r="BF27" i="38"/>
  <c r="BF26" i="38"/>
  <c r="BF25" i="38"/>
  <c r="BF24" i="38"/>
  <c r="BF23" i="38"/>
  <c r="BF22" i="38"/>
  <c r="BF21" i="38"/>
  <c r="BF20" i="38"/>
  <c r="BF19" i="38"/>
  <c r="BF18" i="38"/>
  <c r="BF17" i="38"/>
  <c r="BF16" i="38"/>
  <c r="BF15" i="38"/>
  <c r="BF14" i="38"/>
  <c r="BF13" i="38"/>
  <c r="BF12" i="38"/>
  <c r="BF11" i="38"/>
  <c r="BF10" i="38"/>
  <c r="BF9" i="38"/>
  <c r="BF8" i="38"/>
  <c r="BF7" i="38"/>
  <c r="BF6" i="38"/>
  <c r="C3" i="9"/>
  <c r="C19" i="6"/>
  <c r="C29" i="6"/>
  <c r="C28" i="6"/>
  <c r="C24" i="6"/>
  <c r="C21" i="6"/>
  <c r="C5" i="6"/>
  <c r="C27" i="6"/>
  <c r="C20" i="6"/>
  <c r="C4" i="6"/>
  <c r="C18" i="6"/>
  <c r="C6" i="6"/>
  <c r="C23" i="6"/>
  <c r="C11" i="6"/>
  <c r="C17" i="6"/>
  <c r="C10" i="6"/>
  <c r="C16" i="6"/>
  <c r="C7" i="6"/>
  <c r="C25" i="6"/>
  <c r="C12" i="6"/>
  <c r="C9" i="6"/>
  <c r="C34" i="9"/>
  <c r="C55" i="9"/>
  <c r="C69" i="9"/>
  <c r="C38" i="9"/>
  <c r="C46" i="9"/>
  <c r="C36" i="9"/>
  <c r="C68" i="9"/>
  <c r="C54" i="9"/>
  <c r="C68" i="6"/>
  <c r="C54" i="6"/>
  <c r="C42" i="9"/>
  <c r="C73" i="6"/>
  <c r="C59" i="6"/>
  <c r="C66" i="6"/>
  <c r="C52" i="6"/>
  <c r="C47" i="6"/>
  <c r="C61" i="6"/>
  <c r="C75" i="6"/>
  <c r="C41" i="9"/>
  <c r="C33" i="9"/>
  <c r="C70" i="6"/>
  <c r="C56" i="6"/>
  <c r="C65" i="6"/>
  <c r="C51" i="6"/>
  <c r="C74" i="9"/>
  <c r="C60" i="9"/>
  <c r="C32" i="9"/>
  <c r="C39" i="6"/>
  <c r="C55" i="6"/>
  <c r="C69" i="6"/>
  <c r="C73" i="9"/>
  <c r="C59" i="9"/>
  <c r="C35" i="9"/>
  <c r="C47" i="9"/>
  <c r="C49" i="6"/>
  <c r="C71" i="6"/>
  <c r="C57" i="6"/>
  <c r="C37" i="9"/>
  <c r="C53" i="9"/>
  <c r="C67" i="9"/>
  <c r="C52" i="9"/>
  <c r="C66" i="9"/>
  <c r="C62" i="6"/>
  <c r="C76" i="6"/>
  <c r="C43" i="6"/>
  <c r="C40" i="9"/>
  <c r="C44" i="9"/>
  <c r="C65" i="9"/>
  <c r="C51" i="9"/>
  <c r="C64" i="6"/>
  <c r="C50" i="6"/>
  <c r="C46" i="6"/>
  <c r="C42" i="6"/>
  <c r="C64" i="9"/>
  <c r="C50" i="9"/>
  <c r="C43" i="9"/>
  <c r="C76" i="9"/>
  <c r="C62" i="9"/>
  <c r="C39" i="9"/>
  <c r="C56" i="9"/>
  <c r="C70" i="9"/>
  <c r="C58" i="9"/>
  <c r="C72" i="9"/>
  <c r="C75" i="9"/>
  <c r="C61" i="9"/>
  <c r="C74" i="6"/>
  <c r="C60" i="6"/>
  <c r="C72" i="6"/>
  <c r="C58" i="6"/>
  <c r="C40" i="6"/>
  <c r="C67" i="6"/>
  <c r="C53" i="6"/>
  <c r="C71" i="9"/>
  <c r="C57" i="9"/>
  <c r="C49" i="9"/>
  <c r="F43" i="12"/>
  <c r="G43" i="34"/>
  <c r="F36" i="12"/>
  <c r="G36" i="34"/>
  <c r="F35" i="12"/>
  <c r="G35" i="34"/>
  <c r="F49" i="12"/>
  <c r="G49" i="34"/>
  <c r="F44" i="12"/>
  <c r="G44" i="34"/>
  <c r="F46" i="12"/>
  <c r="G46" i="34"/>
  <c r="F47" i="12"/>
  <c r="G47" i="34"/>
  <c r="F38" i="12"/>
  <c r="G38" i="34"/>
  <c r="F37" i="12"/>
  <c r="G37" i="34"/>
  <c r="F42" i="12"/>
  <c r="G42" i="34"/>
  <c r="F41" i="12"/>
  <c r="G41" i="34"/>
  <c r="F34" i="12"/>
  <c r="G34" i="34"/>
  <c r="F33" i="12"/>
  <c r="G33" i="34"/>
  <c r="F39" i="12"/>
  <c r="G39" i="34"/>
  <c r="F40" i="12"/>
  <c r="G40" i="34"/>
  <c r="F32" i="12"/>
  <c r="G32"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G3" i="34"/>
  <c r="G2" i="34"/>
  <c r="C45" i="9"/>
  <c r="C31" i="9"/>
  <c r="C48" i="6"/>
  <c r="C63" i="6"/>
  <c r="G45" i="34"/>
  <c r="C63" i="9"/>
  <c r="C48" i="9"/>
  <c r="C45" i="6"/>
  <c r="G31" i="34"/>
  <c r="F34" i="15"/>
  <c r="G34" i="37"/>
  <c r="F33" i="15"/>
  <c r="G33" i="37"/>
  <c r="F39" i="15"/>
  <c r="G39" i="37"/>
  <c r="F36" i="15"/>
  <c r="G36" i="37"/>
  <c r="F37" i="15"/>
  <c r="G37" i="37"/>
  <c r="F42" i="15"/>
  <c r="G42" i="37"/>
  <c r="F35" i="15"/>
  <c r="G35" i="37"/>
  <c r="F49" i="15"/>
  <c r="G49" i="37"/>
  <c r="F44" i="15"/>
  <c r="G44" i="37"/>
  <c r="F46" i="15"/>
  <c r="G46" i="37"/>
  <c r="F38" i="15"/>
  <c r="G38" i="37"/>
  <c r="C32" i="15"/>
  <c r="D32" i="37"/>
  <c r="F41" i="15"/>
  <c r="G41" i="37"/>
  <c r="F47" i="15"/>
  <c r="G47" i="37"/>
  <c r="F40" i="15"/>
  <c r="G40" i="37"/>
  <c r="F32" i="15"/>
  <c r="G32" i="37"/>
  <c r="F43" i="15"/>
  <c r="G43" i="37"/>
  <c r="F36" i="14"/>
  <c r="G36" i="36"/>
  <c r="F37" i="14"/>
  <c r="G37" i="36"/>
  <c r="F35" i="14"/>
  <c r="G35" i="36"/>
  <c r="F49" i="14"/>
  <c r="G49" i="36"/>
  <c r="F44" i="14"/>
  <c r="G44" i="36"/>
  <c r="F43" i="14"/>
  <c r="G43" i="36"/>
  <c r="F34" i="14"/>
  <c r="G34" i="36"/>
  <c r="F39" i="14"/>
  <c r="G39" i="36"/>
  <c r="F42" i="14"/>
  <c r="G42" i="36"/>
  <c r="F33" i="14"/>
  <c r="G33" i="36"/>
  <c r="F41" i="14"/>
  <c r="G41" i="36"/>
  <c r="F47" i="14"/>
  <c r="G47" i="36"/>
  <c r="F40" i="14"/>
  <c r="G40" i="36"/>
  <c r="G21" i="36"/>
  <c r="G16" i="36"/>
  <c r="F46" i="14"/>
  <c r="G46" i="36"/>
  <c r="G45" i="36"/>
  <c r="F38" i="14"/>
  <c r="G38" i="36"/>
  <c r="C32" i="14"/>
  <c r="D32" i="36"/>
  <c r="F32" i="14"/>
  <c r="G32" i="36"/>
  <c r="F65" i="12"/>
  <c r="G65" i="34"/>
  <c r="F51" i="12"/>
  <c r="G51" i="34"/>
  <c r="F68" i="12"/>
  <c r="G68" i="34"/>
  <c r="F54" i="12"/>
  <c r="G54" i="34"/>
  <c r="F70" i="12"/>
  <c r="G70" i="34"/>
  <c r="F56" i="12"/>
  <c r="G56" i="34"/>
  <c r="F2" i="13"/>
  <c r="F38" i="13"/>
  <c r="G38" i="35"/>
  <c r="F36" i="13"/>
  <c r="G36" i="35"/>
  <c r="F37" i="13"/>
  <c r="G37" i="35"/>
  <c r="F42" i="13"/>
  <c r="G42" i="35"/>
  <c r="F43" i="13"/>
  <c r="G43" i="35"/>
  <c r="G24" i="35"/>
  <c r="G18" i="35"/>
  <c r="F34" i="13"/>
  <c r="G34" i="35"/>
  <c r="F39" i="13"/>
  <c r="G39" i="35"/>
  <c r="F41" i="13"/>
  <c r="G41" i="35"/>
  <c r="F35" i="13"/>
  <c r="G35" i="35"/>
  <c r="F49" i="13"/>
  <c r="G49" i="35"/>
  <c r="F44" i="13"/>
  <c r="G44" i="35"/>
  <c r="F47" i="13"/>
  <c r="G47" i="35"/>
  <c r="D32" i="35"/>
  <c r="F33" i="13"/>
  <c r="G33" i="35"/>
  <c r="G9" i="35"/>
  <c r="F40" i="13"/>
  <c r="G40" i="35"/>
  <c r="F46" i="13"/>
  <c r="G27" i="35"/>
  <c r="F32" i="13"/>
  <c r="G32" i="35"/>
  <c r="F31" i="12"/>
  <c r="F64" i="12"/>
  <c r="G64" i="34"/>
  <c r="F50" i="12"/>
  <c r="G50" i="34"/>
  <c r="F69" i="12"/>
  <c r="G69" i="34"/>
  <c r="F55" i="12"/>
  <c r="G55" i="34"/>
  <c r="F45" i="12"/>
  <c r="F73" i="12"/>
  <c r="G73" i="34"/>
  <c r="F59" i="12"/>
  <c r="G59" i="34"/>
  <c r="F74" i="12"/>
  <c r="G74" i="34"/>
  <c r="F60" i="12"/>
  <c r="G60" i="34"/>
  <c r="F75" i="12"/>
  <c r="G75" i="34"/>
  <c r="F61" i="12"/>
  <c r="G61" i="34"/>
  <c r="F72" i="12"/>
  <c r="G72" i="34"/>
  <c r="F58" i="12"/>
  <c r="G58" i="34"/>
  <c r="F76" i="12"/>
  <c r="G76" i="34"/>
  <c r="F62" i="12"/>
  <c r="G62" i="34"/>
  <c r="F67" i="12"/>
  <c r="G67" i="34"/>
  <c r="F53" i="12"/>
  <c r="G53" i="34"/>
  <c r="F66" i="12"/>
  <c r="G66" i="34"/>
  <c r="F52" i="12"/>
  <c r="G52" i="34"/>
  <c r="F71" i="12"/>
  <c r="G71" i="34"/>
  <c r="F57" i="12"/>
  <c r="G57" i="34"/>
  <c r="G30" i="36"/>
  <c r="G29" i="36"/>
  <c r="G28" i="36"/>
  <c r="G27" i="36"/>
  <c r="G26" i="36"/>
  <c r="G25" i="36"/>
  <c r="G24" i="36"/>
  <c r="G23" i="36"/>
  <c r="G22" i="36"/>
  <c r="G20" i="36"/>
  <c r="G19" i="36"/>
  <c r="G18" i="36"/>
  <c r="G17" i="36"/>
  <c r="G15" i="36"/>
  <c r="G14" i="36"/>
  <c r="G13" i="36"/>
  <c r="G12" i="36"/>
  <c r="G11" i="36"/>
  <c r="G10" i="36"/>
  <c r="G9" i="36"/>
  <c r="G8" i="36"/>
  <c r="G7" i="36"/>
  <c r="G6" i="36"/>
  <c r="G5" i="36"/>
  <c r="G4" i="36"/>
  <c r="G3" i="36"/>
  <c r="G2" i="36"/>
  <c r="G28" i="35"/>
  <c r="G26" i="35"/>
  <c r="G22" i="35"/>
  <c r="G21" i="35"/>
  <c r="G15" i="35"/>
  <c r="G11" i="35"/>
  <c r="G5" i="35"/>
  <c r="G19" i="35"/>
  <c r="G16" i="35"/>
  <c r="G14" i="35"/>
  <c r="G8" i="35"/>
  <c r="G3" i="35"/>
  <c r="G29" i="35"/>
  <c r="G25" i="35"/>
  <c r="G20" i="35"/>
  <c r="G17" i="35"/>
  <c r="G12" i="35"/>
  <c r="G7" i="35"/>
  <c r="G6" i="35"/>
  <c r="G4" i="35"/>
  <c r="G29" i="37"/>
  <c r="G26" i="37"/>
  <c r="G25" i="37"/>
  <c r="G24" i="37"/>
  <c r="G23" i="37"/>
  <c r="G22" i="37"/>
  <c r="G21" i="37"/>
  <c r="G20" i="37"/>
  <c r="G19" i="37"/>
  <c r="G18" i="37"/>
  <c r="G17" i="37"/>
  <c r="G16" i="37"/>
  <c r="G15" i="37"/>
  <c r="G14" i="37"/>
  <c r="G13" i="37"/>
  <c r="G12" i="37"/>
  <c r="G11" i="37"/>
  <c r="G10" i="37"/>
  <c r="G9" i="37"/>
  <c r="G8" i="37"/>
  <c r="G7" i="37"/>
  <c r="G6" i="37"/>
  <c r="G5" i="37"/>
  <c r="G4" i="37"/>
  <c r="G3" i="37"/>
  <c r="G2" i="37"/>
  <c r="G27" i="37"/>
  <c r="G30" i="37"/>
  <c r="G28" i="37"/>
  <c r="G48" i="34"/>
  <c r="G31" i="35"/>
  <c r="G31" i="37"/>
  <c r="G63" i="34"/>
  <c r="G31" i="36"/>
  <c r="G45" i="37"/>
  <c r="F45" i="13"/>
  <c r="G46" i="35"/>
  <c r="G45" i="35"/>
  <c r="G2" i="35"/>
  <c r="F48" i="12"/>
  <c r="G10" i="35"/>
  <c r="G13" i="35"/>
  <c r="F45" i="14"/>
  <c r="G23" i="35"/>
  <c r="G30" i="35"/>
  <c r="F31" i="13"/>
  <c r="F31" i="14"/>
  <c r="C52" i="13"/>
  <c r="D52" i="35"/>
  <c r="C66" i="13"/>
  <c r="D66" i="35"/>
  <c r="F76" i="13"/>
  <c r="G76" i="35"/>
  <c r="F62" i="13"/>
  <c r="G62" i="35"/>
  <c r="C54" i="13"/>
  <c r="D54" i="35"/>
  <c r="C68" i="13"/>
  <c r="D68" i="35"/>
  <c r="C70" i="13"/>
  <c r="D70" i="35"/>
  <c r="C56" i="13"/>
  <c r="D56" i="35"/>
  <c r="C39" i="13"/>
  <c r="F70" i="13"/>
  <c r="G70" i="35"/>
  <c r="F56" i="13"/>
  <c r="G56" i="35"/>
  <c r="C46" i="13"/>
  <c r="D46" i="35"/>
  <c r="F72" i="13"/>
  <c r="G72" i="35"/>
  <c r="F58" i="13"/>
  <c r="G58" i="35"/>
  <c r="C42" i="13"/>
  <c r="C50" i="13"/>
  <c r="D50" i="35"/>
  <c r="C64" i="13"/>
  <c r="D64" i="35"/>
  <c r="C55" i="13"/>
  <c r="D55" i="35"/>
  <c r="C69" i="13"/>
  <c r="D69" i="35"/>
  <c r="C36" i="14"/>
  <c r="C54" i="14"/>
  <c r="D54" i="36"/>
  <c r="C68" i="14"/>
  <c r="D68" i="36"/>
  <c r="C52" i="14"/>
  <c r="D52" i="36"/>
  <c r="C66" i="14"/>
  <c r="D66" i="36"/>
  <c r="F62" i="14"/>
  <c r="G62" i="36"/>
  <c r="F76" i="14"/>
  <c r="G76" i="36"/>
  <c r="F66" i="14"/>
  <c r="G66" i="36"/>
  <c r="F52" i="14"/>
  <c r="G52" i="36"/>
  <c r="C56" i="14"/>
  <c r="D56" i="36"/>
  <c r="C70" i="14"/>
  <c r="D70" i="36"/>
  <c r="F31" i="15"/>
  <c r="C37" i="15"/>
  <c r="F73" i="15"/>
  <c r="G73" i="37"/>
  <c r="F59" i="15"/>
  <c r="G59" i="37"/>
  <c r="C40" i="15"/>
  <c r="F72" i="15"/>
  <c r="G72" i="37"/>
  <c r="F58" i="15"/>
  <c r="G58" i="37"/>
  <c r="C50" i="15"/>
  <c r="D50" i="37"/>
  <c r="C64" i="15"/>
  <c r="D64" i="37"/>
  <c r="C66" i="15"/>
  <c r="D66" i="37"/>
  <c r="C52" i="15"/>
  <c r="D52" i="37"/>
  <c r="F62" i="15"/>
  <c r="G62" i="37"/>
  <c r="F76" i="15"/>
  <c r="G76" i="37"/>
  <c r="F50" i="15"/>
  <c r="G50" i="37"/>
  <c r="F64" i="15"/>
  <c r="G64" i="37"/>
  <c r="C43" i="15"/>
  <c r="C46" i="15"/>
  <c r="D46" i="37"/>
  <c r="F57" i="15"/>
  <c r="G57" i="37"/>
  <c r="F71" i="15"/>
  <c r="G71" i="37"/>
  <c r="C40" i="13"/>
  <c r="C59" i="13"/>
  <c r="D59" i="35"/>
  <c r="C73" i="13"/>
  <c r="D73" i="35"/>
  <c r="C62" i="13"/>
  <c r="D62" i="35"/>
  <c r="C76" i="13"/>
  <c r="C47" i="13"/>
  <c r="C58" i="13"/>
  <c r="D58" i="35"/>
  <c r="C72" i="13"/>
  <c r="D72" i="35"/>
  <c r="C51" i="14"/>
  <c r="D51" i="36"/>
  <c r="C65" i="14"/>
  <c r="D65" i="36"/>
  <c r="F53" i="14"/>
  <c r="G53" i="36"/>
  <c r="F67" i="14"/>
  <c r="G67" i="36"/>
  <c r="C73" i="14"/>
  <c r="D73" i="36"/>
  <c r="C59" i="14"/>
  <c r="D59" i="36"/>
  <c r="C74" i="14"/>
  <c r="D74" i="36"/>
  <c r="C60" i="14"/>
  <c r="D60" i="36"/>
  <c r="C42" i="14"/>
  <c r="F69" i="14"/>
  <c r="G69" i="36"/>
  <c r="F55" i="14"/>
  <c r="G55" i="36"/>
  <c r="C64" i="14"/>
  <c r="D64" i="36"/>
  <c r="C50" i="14"/>
  <c r="D50" i="36"/>
  <c r="C46" i="14"/>
  <c r="D46" i="36"/>
  <c r="C34" i="14"/>
  <c r="F56" i="14"/>
  <c r="G56" i="36"/>
  <c r="F70" i="14"/>
  <c r="G70" i="36"/>
  <c r="C71" i="14"/>
  <c r="D71" i="36"/>
  <c r="C57" i="14"/>
  <c r="D57" i="36"/>
  <c r="C69" i="14"/>
  <c r="D69" i="36"/>
  <c r="C55" i="14"/>
  <c r="D55" i="36"/>
  <c r="F71" i="14"/>
  <c r="G71" i="36"/>
  <c r="F57" i="14"/>
  <c r="G57" i="36"/>
  <c r="F68" i="15"/>
  <c r="G68" i="37"/>
  <c r="F54" i="15"/>
  <c r="G54" i="37"/>
  <c r="C38" i="15"/>
  <c r="C54" i="15"/>
  <c r="D54" i="37"/>
  <c r="C68" i="15"/>
  <c r="D68" i="37"/>
  <c r="C42" i="15"/>
  <c r="C39" i="15"/>
  <c r="C34" i="15"/>
  <c r="F56" i="15"/>
  <c r="G56" i="37"/>
  <c r="F70" i="15"/>
  <c r="G70" i="37"/>
  <c r="C57" i="15"/>
  <c r="D57" i="37"/>
  <c r="C71" i="15"/>
  <c r="D71" i="37"/>
  <c r="C65" i="15"/>
  <c r="D65" i="37"/>
  <c r="C51" i="15"/>
  <c r="D51" i="37"/>
  <c r="C44" i="15"/>
  <c r="C49" i="15"/>
  <c r="D49" i="37"/>
  <c r="C35" i="15"/>
  <c r="F63" i="12"/>
  <c r="F73" i="13"/>
  <c r="G73" i="35"/>
  <c r="F59" i="13"/>
  <c r="G59" i="35"/>
  <c r="F52" i="13"/>
  <c r="G52" i="35"/>
  <c r="F66" i="13"/>
  <c r="G66" i="35"/>
  <c r="C53" i="13"/>
  <c r="D53" i="35"/>
  <c r="C67" i="13"/>
  <c r="D67" i="35"/>
  <c r="C57" i="13"/>
  <c r="D57" i="35"/>
  <c r="C71" i="13"/>
  <c r="D71" i="35"/>
  <c r="F67" i="13"/>
  <c r="G67" i="35"/>
  <c r="F53" i="13"/>
  <c r="G53" i="35"/>
  <c r="F71" i="13"/>
  <c r="G71" i="35"/>
  <c r="F57" i="13"/>
  <c r="G57" i="35"/>
  <c r="F65" i="13"/>
  <c r="G65" i="35"/>
  <c r="F51" i="13"/>
  <c r="G51" i="35"/>
  <c r="F64" i="13"/>
  <c r="G64" i="35"/>
  <c r="F50" i="13"/>
  <c r="G50" i="35"/>
  <c r="C43" i="13"/>
  <c r="D38" i="35"/>
  <c r="C40" i="14"/>
  <c r="C37" i="14"/>
  <c r="C41" i="14"/>
  <c r="C58" i="14"/>
  <c r="D58" i="36"/>
  <c r="C72" i="14"/>
  <c r="D72" i="36"/>
  <c r="F65" i="14"/>
  <c r="G65" i="36"/>
  <c r="F51" i="14"/>
  <c r="G51" i="36"/>
  <c r="C44" i="14"/>
  <c r="C67" i="14"/>
  <c r="D67" i="36"/>
  <c r="C53" i="14"/>
  <c r="D53" i="36"/>
  <c r="C33" i="14"/>
  <c r="C49" i="14"/>
  <c r="D49" i="36"/>
  <c r="C35" i="14"/>
  <c r="F67" i="15"/>
  <c r="G67" i="37"/>
  <c r="F53" i="15"/>
  <c r="G53" i="37"/>
  <c r="F69" i="15"/>
  <c r="G69" i="37"/>
  <c r="F55" i="15"/>
  <c r="G55" i="37"/>
  <c r="C41" i="15"/>
  <c r="F45" i="15"/>
  <c r="C33" i="15"/>
  <c r="C55" i="15"/>
  <c r="D55" i="37"/>
  <c r="C69" i="15"/>
  <c r="D69" i="37"/>
  <c r="F74" i="15"/>
  <c r="G74" i="37"/>
  <c r="F60" i="15"/>
  <c r="G60" i="37"/>
  <c r="F61" i="15"/>
  <c r="G61" i="37"/>
  <c r="F75" i="15"/>
  <c r="G75" i="37"/>
  <c r="C62" i="15"/>
  <c r="D62" i="37"/>
  <c r="C76" i="15"/>
  <c r="D76" i="37"/>
  <c r="F68" i="13"/>
  <c r="G68" i="35"/>
  <c r="F54" i="13"/>
  <c r="G54" i="35"/>
  <c r="C49" i="13"/>
  <c r="C60" i="13"/>
  <c r="D60" i="35"/>
  <c r="C74" i="13"/>
  <c r="D74" i="35"/>
  <c r="C61" i="13"/>
  <c r="D61" i="35"/>
  <c r="C75" i="13"/>
  <c r="D75" i="35"/>
  <c r="F74" i="13"/>
  <c r="G74" i="35"/>
  <c r="F60" i="13"/>
  <c r="G60" i="35"/>
  <c r="F75" i="13"/>
  <c r="G75" i="35"/>
  <c r="F61" i="13"/>
  <c r="G61" i="35"/>
  <c r="F69" i="13"/>
  <c r="G69" i="35"/>
  <c r="F55" i="13"/>
  <c r="G55" i="35"/>
  <c r="C51" i="13"/>
  <c r="D51" i="35"/>
  <c r="C65" i="13"/>
  <c r="D65" i="35"/>
  <c r="C38" i="14"/>
  <c r="C47" i="14"/>
  <c r="F54" i="14"/>
  <c r="G54" i="36"/>
  <c r="F68" i="14"/>
  <c r="G68" i="36"/>
  <c r="C39" i="14"/>
  <c r="F72" i="14"/>
  <c r="G72" i="36"/>
  <c r="F58" i="14"/>
  <c r="G58" i="36"/>
  <c r="F73" i="14"/>
  <c r="G73" i="36"/>
  <c r="F59" i="14"/>
  <c r="G59" i="36"/>
  <c r="F74" i="14"/>
  <c r="G74" i="36"/>
  <c r="F60" i="14"/>
  <c r="G60" i="36"/>
  <c r="C75" i="14"/>
  <c r="D75" i="36"/>
  <c r="C61" i="14"/>
  <c r="D61" i="36"/>
  <c r="F64" i="14"/>
  <c r="G64" i="36"/>
  <c r="F50" i="14"/>
  <c r="C43" i="14"/>
  <c r="F75" i="14"/>
  <c r="G75" i="36"/>
  <c r="F61" i="14"/>
  <c r="G61" i="36"/>
  <c r="C76" i="14"/>
  <c r="D76" i="36"/>
  <c r="C62" i="14"/>
  <c r="D62" i="36"/>
  <c r="C59" i="15"/>
  <c r="D59" i="37"/>
  <c r="C73" i="15"/>
  <c r="D73" i="37"/>
  <c r="F65" i="15"/>
  <c r="G65" i="37"/>
  <c r="F51" i="15"/>
  <c r="G51" i="37"/>
  <c r="C53" i="15"/>
  <c r="D53" i="37"/>
  <c r="C67" i="15"/>
  <c r="D67" i="37"/>
  <c r="C47" i="15"/>
  <c r="C36" i="15"/>
  <c r="C60" i="15"/>
  <c r="D60" i="37"/>
  <c r="C74" i="15"/>
  <c r="D74" i="37"/>
  <c r="C61" i="15"/>
  <c r="D61" i="37"/>
  <c r="C75" i="15"/>
  <c r="D75" i="37"/>
  <c r="C58" i="15"/>
  <c r="D58" i="37"/>
  <c r="C72" i="15"/>
  <c r="D72" i="37"/>
  <c r="F66" i="15"/>
  <c r="G66" i="37"/>
  <c r="F52" i="15"/>
  <c r="G52" i="37"/>
  <c r="C56" i="15"/>
  <c r="D56" i="37"/>
  <c r="C70" i="15"/>
  <c r="D70" i="37"/>
  <c r="D5" i="35"/>
  <c r="D3" i="36"/>
  <c r="D4" i="36"/>
  <c r="D6" i="36"/>
  <c r="D8" i="36"/>
  <c r="D19" i="36"/>
  <c r="D22" i="36"/>
  <c r="D25" i="36"/>
  <c r="D27" i="36"/>
  <c r="D30" i="36"/>
  <c r="D15" i="35"/>
  <c r="D23" i="35"/>
  <c r="D16" i="35"/>
  <c r="D21" i="35"/>
  <c r="D24" i="35"/>
  <c r="D28" i="35"/>
  <c r="D2" i="36"/>
  <c r="D5" i="36"/>
  <c r="D9" i="36"/>
  <c r="D10" i="36"/>
  <c r="D15" i="36"/>
  <c r="D20" i="36"/>
  <c r="D23" i="36"/>
  <c r="D28" i="36"/>
  <c r="D2" i="35"/>
  <c r="D9" i="35"/>
  <c r="D20" i="35"/>
  <c r="D7" i="35"/>
  <c r="D11" i="35"/>
  <c r="D12" i="35"/>
  <c r="D13" i="35"/>
  <c r="D14" i="35"/>
  <c r="D17" i="35"/>
  <c r="D18" i="35"/>
  <c r="D29" i="35"/>
  <c r="D16" i="36"/>
  <c r="D21" i="36"/>
  <c r="D24" i="36"/>
  <c r="D29" i="36"/>
  <c r="D10" i="35"/>
  <c r="D27" i="35"/>
  <c r="D3" i="35"/>
  <c r="D4" i="35"/>
  <c r="D6" i="35"/>
  <c r="D8" i="35"/>
  <c r="D19" i="35"/>
  <c r="D22" i="35"/>
  <c r="D25" i="35"/>
  <c r="D26" i="35"/>
  <c r="D30" i="35"/>
  <c r="D7" i="36"/>
  <c r="D11" i="36"/>
  <c r="D12" i="36"/>
  <c r="D13" i="36"/>
  <c r="D14" i="36"/>
  <c r="D17" i="36"/>
  <c r="D18" i="36"/>
  <c r="D26" i="36"/>
  <c r="D6" i="37"/>
  <c r="D2" i="37"/>
  <c r="D9" i="37"/>
  <c r="D21" i="37"/>
  <c r="D7" i="37"/>
  <c r="D12" i="37"/>
  <c r="D18" i="37"/>
  <c r="D8" i="37"/>
  <c r="D19" i="37"/>
  <c r="D22" i="37"/>
  <c r="D27" i="37"/>
  <c r="D30" i="37"/>
  <c r="D20" i="37"/>
  <c r="D13" i="37"/>
  <c r="D3" i="37"/>
  <c r="D5" i="37"/>
  <c r="D15" i="37"/>
  <c r="D25" i="37"/>
  <c r="D28" i="37"/>
  <c r="D16" i="37"/>
  <c r="D17" i="37"/>
  <c r="D11" i="37"/>
  <c r="D14" i="37"/>
  <c r="D4" i="37"/>
  <c r="D10" i="37"/>
  <c r="D23" i="37"/>
  <c r="D26" i="37"/>
  <c r="D24" i="37"/>
  <c r="D29" i="37"/>
  <c r="G48" i="35"/>
  <c r="G48" i="37"/>
  <c r="D37" i="36"/>
  <c r="D40" i="36"/>
  <c r="G63" i="36"/>
  <c r="D44" i="37"/>
  <c r="D34" i="36"/>
  <c r="D44" i="35"/>
  <c r="D40" i="37"/>
  <c r="D33" i="35"/>
  <c r="D43" i="37"/>
  <c r="D76" i="35"/>
  <c r="D63" i="35"/>
  <c r="F48" i="14"/>
  <c r="G50" i="36"/>
  <c r="G48" i="36"/>
  <c r="D48" i="37"/>
  <c r="D47" i="37"/>
  <c r="D45" i="37"/>
  <c r="D33" i="36"/>
  <c r="D41" i="36"/>
  <c r="D47" i="35"/>
  <c r="D45" i="35"/>
  <c r="D47" i="36"/>
  <c r="D45" i="36"/>
  <c r="D35" i="36"/>
  <c r="D43" i="35"/>
  <c r="D37" i="35"/>
  <c r="G63" i="37"/>
  <c r="D44" i="36"/>
  <c r="C3" i="8"/>
  <c r="D34" i="37"/>
  <c r="D38" i="37"/>
  <c r="D37" i="37"/>
  <c r="D43" i="36"/>
  <c r="D42" i="36"/>
  <c r="D39" i="36"/>
  <c r="D38" i="36"/>
  <c r="D35" i="35"/>
  <c r="D39" i="37"/>
  <c r="D34" i="35"/>
  <c r="D36" i="37"/>
  <c r="D42" i="35"/>
  <c r="D49" i="35"/>
  <c r="D48" i="35"/>
  <c r="D33" i="37"/>
  <c r="G63" i="35"/>
  <c r="D63" i="36"/>
  <c r="D41" i="35"/>
  <c r="D39" i="35"/>
  <c r="D35" i="37"/>
  <c r="D42" i="37"/>
  <c r="D41" i="37"/>
  <c r="D48" i="36"/>
  <c r="D63" i="37"/>
  <c r="D40" i="35"/>
  <c r="D36" i="36"/>
  <c r="D36" i="35"/>
  <c r="C48" i="14"/>
  <c r="C63" i="14"/>
  <c r="F63" i="13"/>
  <c r="C48" i="15"/>
  <c r="F48" i="15"/>
  <c r="F63" i="15"/>
  <c r="C63" i="15"/>
  <c r="F63" i="14"/>
  <c r="C31" i="15"/>
  <c r="C31" i="14"/>
  <c r="C45" i="13"/>
  <c r="C63" i="13"/>
  <c r="C48" i="13"/>
  <c r="C45" i="14"/>
  <c r="C45" i="15"/>
  <c r="F48" i="13"/>
  <c r="D31" i="37"/>
  <c r="C64" i="8"/>
  <c r="C50" i="8"/>
  <c r="C32" i="8"/>
  <c r="C62" i="8"/>
  <c r="C76" i="8"/>
  <c r="C38" i="8"/>
  <c r="C53" i="8"/>
  <c r="C67" i="8"/>
  <c r="C35" i="8"/>
  <c r="C43" i="8"/>
  <c r="C33" i="8"/>
  <c r="C70" i="8"/>
  <c r="C56" i="8"/>
  <c r="C41" i="8"/>
  <c r="C40" i="8"/>
  <c r="C44" i="8"/>
  <c r="C58" i="8"/>
  <c r="C72" i="8"/>
  <c r="C34" i="8"/>
  <c r="C75" i="8"/>
  <c r="C61" i="8"/>
  <c r="C52" i="8"/>
  <c r="C66" i="8"/>
  <c r="C39" i="8"/>
  <c r="C57" i="8"/>
  <c r="C71" i="8"/>
  <c r="C42" i="8"/>
  <c r="C46" i="8"/>
  <c r="C69" i="8"/>
  <c r="C55" i="8"/>
  <c r="C47" i="8"/>
  <c r="D31" i="36"/>
  <c r="D31" i="35"/>
  <c r="C73" i="8"/>
  <c r="C59" i="8"/>
  <c r="C51" i="8"/>
  <c r="C65" i="8"/>
  <c r="C74" i="8"/>
  <c r="C60" i="8"/>
  <c r="C37" i="8"/>
  <c r="C68" i="8"/>
  <c r="C54" i="8"/>
  <c r="C36" i="8"/>
  <c r="C49" i="8"/>
  <c r="C45" i="8"/>
  <c r="E18" i="15"/>
  <c r="E6" i="15"/>
  <c r="E26" i="15"/>
  <c r="E9" i="15"/>
  <c r="E15" i="15"/>
  <c r="E3" i="15"/>
  <c r="E30" i="15"/>
  <c r="E11" i="13"/>
  <c r="E24" i="15"/>
  <c r="E12" i="15"/>
  <c r="E28" i="15"/>
  <c r="E21" i="15"/>
  <c r="E6" i="14"/>
  <c r="E14" i="14"/>
  <c r="E13" i="13"/>
  <c r="E13" i="15"/>
  <c r="E5" i="13"/>
  <c r="E11" i="14"/>
  <c r="E12" i="14"/>
  <c r="E10" i="13"/>
  <c r="E16" i="15"/>
  <c r="E15" i="14"/>
  <c r="E13" i="14"/>
  <c r="E8" i="14"/>
  <c r="E7" i="13"/>
  <c r="E19" i="15"/>
  <c r="E9" i="13"/>
  <c r="E14" i="15"/>
  <c r="E4" i="14"/>
  <c r="E5" i="14"/>
  <c r="E4" i="13"/>
  <c r="E9" i="14"/>
  <c r="E22" i="15"/>
  <c r="E14" i="13"/>
  <c r="E10" i="14"/>
  <c r="E8" i="13"/>
  <c r="E29" i="15"/>
  <c r="E2" i="15"/>
  <c r="E5" i="15"/>
  <c r="E15" i="13"/>
  <c r="E8" i="15"/>
  <c r="E6" i="13"/>
  <c r="E16" i="14"/>
  <c r="E12" i="13"/>
  <c r="E11" i="15"/>
  <c r="E4" i="15"/>
  <c r="E17" i="15"/>
  <c r="E10" i="15"/>
  <c r="E23" i="15"/>
  <c r="E7" i="14"/>
  <c r="E7" i="15"/>
  <c r="E20" i="15"/>
  <c r="E16" i="13"/>
  <c r="E27" i="15"/>
  <c r="E20" i="13"/>
  <c r="E24" i="14"/>
  <c r="E29" i="14"/>
  <c r="E23" i="14"/>
  <c r="E17" i="14"/>
  <c r="E21" i="13"/>
  <c r="E30" i="14"/>
  <c r="E22" i="13"/>
  <c r="E18" i="14"/>
  <c r="E28" i="14"/>
  <c r="E22" i="14"/>
  <c r="E3" i="14"/>
  <c r="E23" i="13"/>
  <c r="E24" i="13"/>
  <c r="E27" i="14"/>
  <c r="E21" i="14"/>
  <c r="E2" i="14"/>
  <c r="E25" i="13"/>
  <c r="E26" i="13"/>
  <c r="E19" i="13"/>
  <c r="E26" i="14"/>
  <c r="E20" i="14"/>
  <c r="E2" i="13"/>
  <c r="E27" i="13"/>
  <c r="E3" i="13"/>
  <c r="E28" i="13"/>
  <c r="E25" i="15"/>
  <c r="E25" i="14"/>
  <c r="E19" i="14"/>
  <c r="E17" i="13"/>
  <c r="E29" i="13"/>
  <c r="E18" i="13"/>
  <c r="E30" i="13"/>
  <c r="C63" i="8"/>
  <c r="C48" i="8"/>
  <c r="E3" i="9"/>
  <c r="E3" i="8"/>
  <c r="E19" i="6"/>
  <c r="E23" i="6"/>
  <c r="E16" i="6"/>
  <c r="E10" i="6"/>
  <c r="E11" i="6"/>
  <c r="E2" i="6"/>
  <c r="E3" i="6"/>
  <c r="E14" i="6"/>
  <c r="E15" i="6"/>
  <c r="E28" i="6"/>
  <c r="E20" i="6"/>
  <c r="E6" i="6"/>
  <c r="E12" i="6"/>
  <c r="E13" i="6"/>
  <c r="E30" i="6"/>
  <c r="E29" i="6"/>
  <c r="E21" i="6"/>
  <c r="E25" i="6"/>
  <c r="E27" i="6"/>
  <c r="E18" i="6"/>
  <c r="E8" i="6"/>
  <c r="E24" i="6"/>
  <c r="E22" i="6"/>
  <c r="E17" i="6"/>
  <c r="E9" i="6"/>
  <c r="E5" i="6"/>
  <c r="E7" i="6"/>
  <c r="E4" i="6"/>
  <c r="E26" i="6"/>
  <c r="C31" i="8"/>
  <c r="E60" i="6"/>
  <c r="G60" i="6"/>
  <c r="E74" i="6"/>
  <c r="G74" i="6"/>
  <c r="G12" i="6"/>
  <c r="E64" i="8"/>
  <c r="E50" i="8"/>
  <c r="G50" i="8"/>
  <c r="G5" i="15"/>
  <c r="H5" i="37"/>
  <c r="F5" i="37"/>
  <c r="E67" i="15"/>
  <c r="E53" i="15"/>
  <c r="G22" i="15"/>
  <c r="H22" i="37"/>
  <c r="F22" i="37"/>
  <c r="E37" i="15"/>
  <c r="E41" i="6"/>
  <c r="G41" i="6"/>
  <c r="G8" i="6"/>
  <c r="E66" i="8"/>
  <c r="G66" i="8"/>
  <c r="E52" i="8"/>
  <c r="G52" i="8"/>
  <c r="G29" i="13"/>
  <c r="H29" i="35"/>
  <c r="F29" i="35"/>
  <c r="E57" i="13"/>
  <c r="E71" i="13"/>
  <c r="G26" i="13"/>
  <c r="H26" i="35"/>
  <c r="F26" i="35"/>
  <c r="E36" i="13"/>
  <c r="G30" i="14"/>
  <c r="H30" i="36"/>
  <c r="E35" i="14"/>
  <c r="F30" i="36"/>
  <c r="G4" i="15"/>
  <c r="H4" i="37"/>
  <c r="F4" i="37"/>
  <c r="E40" i="15"/>
  <c r="G8" i="13"/>
  <c r="H8" i="35"/>
  <c r="F8" i="35"/>
  <c r="E41" i="13"/>
  <c r="G9" i="13"/>
  <c r="H9" i="35"/>
  <c r="F9" i="35"/>
  <c r="E54" i="13"/>
  <c r="E68" i="13"/>
  <c r="G13" i="14"/>
  <c r="H13" i="36"/>
  <c r="E33" i="14"/>
  <c r="F13" i="36"/>
  <c r="G5" i="13"/>
  <c r="H5" i="35"/>
  <c r="F5" i="35"/>
  <c r="E53" i="13"/>
  <c r="E67" i="13"/>
  <c r="G24" i="15"/>
  <c r="H24" i="37"/>
  <c r="F24" i="37"/>
  <c r="E69" i="15"/>
  <c r="E55" i="15"/>
  <c r="G30" i="15"/>
  <c r="H30" i="37"/>
  <c r="F30" i="37"/>
  <c r="E35" i="15"/>
  <c r="E73" i="8"/>
  <c r="G73" i="8"/>
  <c r="E59" i="8"/>
  <c r="G59" i="8"/>
  <c r="G26" i="14"/>
  <c r="H26" i="36"/>
  <c r="F26" i="36"/>
  <c r="E36" i="14"/>
  <c r="G12" i="14"/>
  <c r="H12" i="36"/>
  <c r="F12" i="36"/>
  <c r="E74" i="14"/>
  <c r="E60" i="14"/>
  <c r="G12" i="15"/>
  <c r="H12" i="37"/>
  <c r="F12" i="37"/>
  <c r="E60" i="15"/>
  <c r="E74" i="15"/>
  <c r="E40" i="8"/>
  <c r="G40" i="8"/>
  <c r="E32" i="9"/>
  <c r="G3" i="9"/>
  <c r="E36" i="6"/>
  <c r="G36" i="6"/>
  <c r="G26" i="6"/>
  <c r="E56" i="6"/>
  <c r="G56" i="6"/>
  <c r="E70" i="6"/>
  <c r="G70" i="6"/>
  <c r="G20" i="6"/>
  <c r="E75" i="9"/>
  <c r="G75" i="9"/>
  <c r="E61" i="9"/>
  <c r="G61" i="9"/>
  <c r="E39" i="8"/>
  <c r="G39" i="8"/>
  <c r="E69" i="8"/>
  <c r="G69" i="8"/>
  <c r="E55" i="8"/>
  <c r="G55" i="8"/>
  <c r="E71" i="8"/>
  <c r="G71" i="8"/>
  <c r="E57" i="8"/>
  <c r="G57" i="8"/>
  <c r="E47" i="9"/>
  <c r="G47" i="9"/>
  <c r="G17" i="13"/>
  <c r="H17" i="35"/>
  <c r="F17" i="35"/>
  <c r="E66" i="13"/>
  <c r="E52" i="13"/>
  <c r="G25" i="13"/>
  <c r="H25" i="35"/>
  <c r="F25" i="35"/>
  <c r="E50" i="13"/>
  <c r="E64" i="13"/>
  <c r="G21" i="13"/>
  <c r="H21" i="35"/>
  <c r="F21" i="35"/>
  <c r="E51" i="13"/>
  <c r="E65" i="13"/>
  <c r="G11" i="15"/>
  <c r="H11" i="37"/>
  <c r="F11" i="37"/>
  <c r="E39" i="15"/>
  <c r="G8" i="15"/>
  <c r="H8" i="37"/>
  <c r="F8" i="37"/>
  <c r="E41" i="15"/>
  <c r="G15" i="14"/>
  <c r="H15" i="36"/>
  <c r="E44" i="14"/>
  <c r="F15" i="36"/>
  <c r="G3" i="15"/>
  <c r="H3" i="37"/>
  <c r="F3" i="37"/>
  <c r="E32" i="15"/>
  <c r="E37" i="9"/>
  <c r="G37" i="9"/>
  <c r="E42" i="8"/>
  <c r="G42" i="8"/>
  <c r="E32" i="8"/>
  <c r="G3" i="8"/>
  <c r="E70" i="9"/>
  <c r="G70" i="9"/>
  <c r="E56" i="9"/>
  <c r="G56" i="9"/>
  <c r="E58" i="8"/>
  <c r="G58" i="8"/>
  <c r="E72" i="8"/>
  <c r="G72" i="8"/>
  <c r="G19" i="14"/>
  <c r="H19" i="36"/>
  <c r="F19" i="36"/>
  <c r="E42" i="14"/>
  <c r="E38" i="14"/>
  <c r="F2" i="36"/>
  <c r="G2" i="14"/>
  <c r="H2" i="36"/>
  <c r="G17" i="14"/>
  <c r="H17" i="36"/>
  <c r="F17" i="36"/>
  <c r="E66" i="14"/>
  <c r="E52" i="14"/>
  <c r="G21" i="15"/>
  <c r="H21" i="37"/>
  <c r="F21" i="37"/>
  <c r="E51" i="15"/>
  <c r="E65" i="15"/>
  <c r="G15" i="15"/>
  <c r="H15" i="37"/>
  <c r="F15" i="37"/>
  <c r="E44" i="15"/>
  <c r="G6" i="13"/>
  <c r="H6" i="35"/>
  <c r="F6" i="35"/>
  <c r="E47" i="13"/>
  <c r="E33" i="6"/>
  <c r="G33" i="6"/>
  <c r="G13" i="6"/>
  <c r="E34" i="9"/>
  <c r="G34" i="9"/>
  <c r="E32" i="6"/>
  <c r="G3" i="6"/>
  <c r="E38" i="8"/>
  <c r="G38" i="8"/>
  <c r="E39" i="9"/>
  <c r="G39" i="9"/>
  <c r="E41" i="9"/>
  <c r="G41" i="9"/>
  <c r="E49" i="9"/>
  <c r="E58" i="9"/>
  <c r="G58" i="9"/>
  <c r="E72" i="9"/>
  <c r="G72" i="9"/>
  <c r="G25" i="14"/>
  <c r="H25" i="36"/>
  <c r="F25" i="36"/>
  <c r="E50" i="14"/>
  <c r="E64" i="14"/>
  <c r="G21" i="14"/>
  <c r="H21" i="36"/>
  <c r="F21" i="36"/>
  <c r="E51" i="14"/>
  <c r="E65" i="14"/>
  <c r="G23" i="14"/>
  <c r="H23" i="36"/>
  <c r="F23" i="36"/>
  <c r="E49" i="14"/>
  <c r="G7" i="15"/>
  <c r="H7" i="37"/>
  <c r="F7" i="37"/>
  <c r="E73" i="15"/>
  <c r="E59" i="15"/>
  <c r="G9" i="14"/>
  <c r="H9" i="36"/>
  <c r="F9" i="36"/>
  <c r="E54" i="14"/>
  <c r="E68" i="14"/>
  <c r="G3" i="7"/>
  <c r="E67" i="9"/>
  <c r="G67" i="9"/>
  <c r="E53" i="9"/>
  <c r="G53" i="9"/>
  <c r="G17" i="15"/>
  <c r="H17" i="37"/>
  <c r="F17" i="37"/>
  <c r="E52" i="15"/>
  <c r="E66" i="15"/>
  <c r="G19" i="13"/>
  <c r="H19" i="35"/>
  <c r="F19" i="35"/>
  <c r="E42" i="13"/>
  <c r="E43" i="6"/>
  <c r="G43" i="6"/>
  <c r="G28" i="6"/>
  <c r="E61" i="8"/>
  <c r="G61" i="8"/>
  <c r="E75" i="8"/>
  <c r="G75" i="8"/>
  <c r="E57" i="9"/>
  <c r="G57" i="9"/>
  <c r="E71" i="9"/>
  <c r="G71" i="9"/>
  <c r="E74" i="9"/>
  <c r="G74" i="9"/>
  <c r="E60" i="9"/>
  <c r="G60" i="9"/>
  <c r="E47" i="8"/>
  <c r="G47" i="8"/>
  <c r="G25" i="15"/>
  <c r="H25" i="37"/>
  <c r="F25" i="37"/>
  <c r="E64" i="15"/>
  <c r="E50" i="15"/>
  <c r="G27" i="14"/>
  <c r="H27" i="36"/>
  <c r="F27" i="36"/>
  <c r="E62" i="14"/>
  <c r="E76" i="14"/>
  <c r="G29" i="14"/>
  <c r="H29" i="36"/>
  <c r="F29" i="36"/>
  <c r="E71" i="14"/>
  <c r="E57" i="14"/>
  <c r="G10" i="14"/>
  <c r="H10" i="36"/>
  <c r="F10" i="36"/>
  <c r="E46" i="14"/>
  <c r="G4" i="13"/>
  <c r="H4" i="35"/>
  <c r="E40" i="13"/>
  <c r="F4" i="35"/>
  <c r="G19" i="15"/>
  <c r="H19" i="37"/>
  <c r="F19" i="37"/>
  <c r="E42" i="15"/>
  <c r="G9" i="15"/>
  <c r="H9" i="37"/>
  <c r="F9" i="37"/>
  <c r="E54" i="15"/>
  <c r="E68" i="15"/>
  <c r="E59" i="6"/>
  <c r="G59" i="6"/>
  <c r="E73" i="6"/>
  <c r="G73" i="6"/>
  <c r="G7" i="6"/>
  <c r="E55" i="9"/>
  <c r="G55" i="9"/>
  <c r="E69" i="9"/>
  <c r="G69" i="9"/>
  <c r="G20" i="15"/>
  <c r="H20" i="37"/>
  <c r="F20" i="37"/>
  <c r="E56" i="15"/>
  <c r="E70" i="15"/>
  <c r="G6" i="14"/>
  <c r="H6" i="36"/>
  <c r="E47" i="14"/>
  <c r="F6" i="36"/>
  <c r="E52" i="6"/>
  <c r="G52" i="6"/>
  <c r="E66" i="6"/>
  <c r="G66" i="6"/>
  <c r="G17" i="6"/>
  <c r="E46" i="9"/>
  <c r="E76" i="9"/>
  <c r="G76" i="9"/>
  <c r="E62" i="9"/>
  <c r="G62" i="9"/>
  <c r="E35" i="9"/>
  <c r="G35" i="9"/>
  <c r="E74" i="8"/>
  <c r="G74" i="8"/>
  <c r="E60" i="8"/>
  <c r="G60" i="8"/>
  <c r="G28" i="13"/>
  <c r="H28" i="35"/>
  <c r="F28" i="35"/>
  <c r="E43" i="13"/>
  <c r="G24" i="13"/>
  <c r="H24" i="35"/>
  <c r="F24" i="35"/>
  <c r="E69" i="13"/>
  <c r="E55" i="13"/>
  <c r="G24" i="14"/>
  <c r="H24" i="36"/>
  <c r="F24" i="36"/>
  <c r="E55" i="14"/>
  <c r="E69" i="14"/>
  <c r="G14" i="13"/>
  <c r="H14" i="35"/>
  <c r="E34" i="13"/>
  <c r="F14" i="35"/>
  <c r="G5" i="14"/>
  <c r="H5" i="36"/>
  <c r="F5" i="36"/>
  <c r="E53" i="14"/>
  <c r="E67" i="14"/>
  <c r="G16" i="15"/>
  <c r="H16" i="37"/>
  <c r="F16" i="37"/>
  <c r="E58" i="15"/>
  <c r="E72" i="15"/>
  <c r="G13" i="15"/>
  <c r="H13" i="37"/>
  <c r="E33" i="15"/>
  <c r="F13" i="37"/>
  <c r="G26" i="15"/>
  <c r="H26" i="37"/>
  <c r="F26" i="37"/>
  <c r="E36" i="15"/>
  <c r="E46" i="6"/>
  <c r="G10" i="6"/>
  <c r="E44" i="9"/>
  <c r="G44" i="9"/>
  <c r="E70" i="8"/>
  <c r="G70" i="8"/>
  <c r="E56" i="8"/>
  <c r="G56" i="8"/>
  <c r="E40" i="6"/>
  <c r="G40" i="6"/>
  <c r="G4" i="6"/>
  <c r="E42" i="6"/>
  <c r="G42" i="6"/>
  <c r="G19" i="6"/>
  <c r="E37" i="6"/>
  <c r="G37" i="6"/>
  <c r="G22" i="6"/>
  <c r="E75" i="6"/>
  <c r="G75" i="6"/>
  <c r="E61" i="6"/>
  <c r="G61" i="6"/>
  <c r="G18" i="6"/>
  <c r="G21" i="6"/>
  <c r="E51" i="6"/>
  <c r="G51" i="6"/>
  <c r="E65" i="6"/>
  <c r="G65" i="6"/>
  <c r="E38" i="6"/>
  <c r="G38" i="6"/>
  <c r="G2" i="6"/>
  <c r="E65" i="9"/>
  <c r="G65" i="9"/>
  <c r="E51" i="9"/>
  <c r="G51" i="9"/>
  <c r="E41" i="8"/>
  <c r="G41" i="8"/>
  <c r="E46" i="8"/>
  <c r="E66" i="9"/>
  <c r="G66" i="9"/>
  <c r="E52" i="9"/>
  <c r="G52" i="9"/>
  <c r="E68" i="9"/>
  <c r="G68" i="9"/>
  <c r="E54" i="9"/>
  <c r="G54" i="9"/>
  <c r="G3" i="13"/>
  <c r="H3" i="35"/>
  <c r="F3" i="35"/>
  <c r="E32" i="13"/>
  <c r="G23" i="13"/>
  <c r="H23" i="35"/>
  <c r="E49" i="13"/>
  <c r="F23" i="35"/>
  <c r="G20" i="13"/>
  <c r="H20" i="35"/>
  <c r="F20" i="35"/>
  <c r="E70" i="13"/>
  <c r="E56" i="13"/>
  <c r="E42" i="9"/>
  <c r="G42" i="9"/>
  <c r="G18" i="14"/>
  <c r="H18" i="36"/>
  <c r="F18" i="36"/>
  <c r="E75" i="14"/>
  <c r="E61" i="14"/>
  <c r="G14" i="14"/>
  <c r="H14" i="36"/>
  <c r="E34" i="14"/>
  <c r="F14" i="36"/>
  <c r="E36" i="9"/>
  <c r="G36" i="9"/>
  <c r="E49" i="6"/>
  <c r="G23" i="6"/>
  <c r="E55" i="6"/>
  <c r="G55" i="6"/>
  <c r="E69" i="6"/>
  <c r="G69" i="6"/>
  <c r="G24" i="6"/>
  <c r="E33" i="8"/>
  <c r="G33" i="8"/>
  <c r="E43" i="8"/>
  <c r="G43" i="8"/>
  <c r="E43" i="9"/>
  <c r="G43" i="9"/>
  <c r="E53" i="8"/>
  <c r="G53" i="8"/>
  <c r="E67" i="8"/>
  <c r="G67" i="8"/>
  <c r="E33" i="9"/>
  <c r="G33" i="9"/>
  <c r="G27" i="13"/>
  <c r="H27" i="35"/>
  <c r="F27" i="35"/>
  <c r="E62" i="13"/>
  <c r="E76" i="13"/>
  <c r="G3" i="14"/>
  <c r="H3" i="36"/>
  <c r="E32" i="14"/>
  <c r="F3" i="36"/>
  <c r="G27" i="15"/>
  <c r="H27" i="37"/>
  <c r="F27" i="37"/>
  <c r="E76" i="15"/>
  <c r="E62" i="15"/>
  <c r="G7" i="14"/>
  <c r="H7" i="36"/>
  <c r="F7" i="36"/>
  <c r="E73" i="14"/>
  <c r="E59" i="14"/>
  <c r="G4" i="14"/>
  <c r="H4" i="36"/>
  <c r="F4" i="36"/>
  <c r="E40" i="14"/>
  <c r="G11" i="13"/>
  <c r="H11" i="35"/>
  <c r="E39" i="13"/>
  <c r="F11" i="35"/>
  <c r="G6" i="15"/>
  <c r="H6" i="37"/>
  <c r="F6" i="37"/>
  <c r="E47" i="15"/>
  <c r="E76" i="8"/>
  <c r="G76" i="8"/>
  <c r="E62" i="8"/>
  <c r="G62" i="8"/>
  <c r="G16" i="13"/>
  <c r="H16" i="35"/>
  <c r="F16" i="35"/>
  <c r="E58" i="13"/>
  <c r="E72" i="13"/>
  <c r="E72" i="6"/>
  <c r="G72" i="6"/>
  <c r="E58" i="6"/>
  <c r="G58" i="6"/>
  <c r="G16" i="6"/>
  <c r="E73" i="9"/>
  <c r="G73" i="9"/>
  <c r="E59" i="9"/>
  <c r="G59" i="9"/>
  <c r="G22" i="13"/>
  <c r="H22" i="35"/>
  <c r="E37" i="13"/>
  <c r="F22" i="35"/>
  <c r="E67" i="6"/>
  <c r="G67" i="6"/>
  <c r="E53" i="6"/>
  <c r="G53" i="6"/>
  <c r="G5" i="6"/>
  <c r="E76" i="6"/>
  <c r="G76" i="6"/>
  <c r="E62" i="6"/>
  <c r="G62" i="6"/>
  <c r="G27" i="6"/>
  <c r="E44" i="8"/>
  <c r="G44" i="8"/>
  <c r="E40" i="9"/>
  <c r="G40" i="9"/>
  <c r="E37" i="8"/>
  <c r="G37" i="8"/>
  <c r="E34" i="8"/>
  <c r="G34" i="8"/>
  <c r="E68" i="8"/>
  <c r="G68" i="8"/>
  <c r="E54" i="8"/>
  <c r="G54" i="8"/>
  <c r="E38" i="13"/>
  <c r="F2" i="35"/>
  <c r="G2" i="13"/>
  <c r="H2" i="35"/>
  <c r="G22" i="14"/>
  <c r="H22" i="36"/>
  <c r="F22" i="36"/>
  <c r="E37" i="14"/>
  <c r="G23" i="15"/>
  <c r="H23" i="37"/>
  <c r="F23" i="37"/>
  <c r="E49" i="15"/>
  <c r="G12" i="13"/>
  <c r="H12" i="35"/>
  <c r="F12" i="35"/>
  <c r="E60" i="13"/>
  <c r="E74" i="13"/>
  <c r="G15" i="13"/>
  <c r="H15" i="35"/>
  <c r="E44" i="13"/>
  <c r="F15" i="35"/>
  <c r="G2" i="15"/>
  <c r="H2" i="37"/>
  <c r="F2" i="37"/>
  <c r="E38" i="15"/>
  <c r="G7" i="13"/>
  <c r="H7" i="35"/>
  <c r="F7" i="35"/>
  <c r="E73" i="13"/>
  <c r="E59" i="13"/>
  <c r="G18" i="15"/>
  <c r="H18" i="37"/>
  <c r="F18" i="37"/>
  <c r="E75" i="15"/>
  <c r="E61" i="15"/>
  <c r="G30" i="13"/>
  <c r="H30" i="35"/>
  <c r="E35" i="13"/>
  <c r="F30" i="35"/>
  <c r="G14" i="15"/>
  <c r="H14" i="37"/>
  <c r="E34" i="15"/>
  <c r="F14" i="37"/>
  <c r="E35" i="8"/>
  <c r="G35" i="8"/>
  <c r="G18" i="13"/>
  <c r="H18" i="35"/>
  <c r="F18" i="35"/>
  <c r="E61" i="13"/>
  <c r="E75" i="13"/>
  <c r="G11" i="14"/>
  <c r="H11" i="36"/>
  <c r="F11" i="36"/>
  <c r="E39" i="14"/>
  <c r="E68" i="6"/>
  <c r="G68" i="6"/>
  <c r="E54" i="6"/>
  <c r="G54" i="6"/>
  <c r="G9" i="6"/>
  <c r="E71" i="6"/>
  <c r="G71" i="6"/>
  <c r="E57" i="6"/>
  <c r="G57" i="6"/>
  <c r="G29" i="6"/>
  <c r="E44" i="6"/>
  <c r="G44" i="6"/>
  <c r="G15" i="6"/>
  <c r="E39" i="6"/>
  <c r="G39" i="6"/>
  <c r="G11" i="6"/>
  <c r="E64" i="6"/>
  <c r="E50" i="6"/>
  <c r="G50" i="6"/>
  <c r="G25" i="6"/>
  <c r="E35" i="6"/>
  <c r="G35" i="6"/>
  <c r="G30" i="6"/>
  <c r="E47" i="6"/>
  <c r="G47" i="6"/>
  <c r="G6" i="6"/>
  <c r="E34" i="6"/>
  <c r="G34" i="6"/>
  <c r="G14" i="6"/>
  <c r="E65" i="8"/>
  <c r="G65" i="8"/>
  <c r="E51" i="8"/>
  <c r="G51" i="8"/>
  <c r="E64" i="9"/>
  <c r="E50" i="9"/>
  <c r="G50" i="9"/>
  <c r="E36" i="8"/>
  <c r="G36" i="8"/>
  <c r="E38" i="9"/>
  <c r="G38" i="9"/>
  <c r="E49" i="8"/>
  <c r="G20" i="14"/>
  <c r="H20" i="36"/>
  <c r="F20" i="36"/>
  <c r="E70" i="14"/>
  <c r="E56" i="14"/>
  <c r="G28" i="14"/>
  <c r="H28" i="36"/>
  <c r="F28" i="36"/>
  <c r="E43" i="14"/>
  <c r="G10" i="15"/>
  <c r="H10" i="37"/>
  <c r="E46" i="15"/>
  <c r="F10" i="37"/>
  <c r="G16" i="14"/>
  <c r="H16" i="36"/>
  <c r="F16" i="36"/>
  <c r="E72" i="14"/>
  <c r="E58" i="14"/>
  <c r="G29" i="15"/>
  <c r="H29" i="37"/>
  <c r="F29" i="37"/>
  <c r="E71" i="15"/>
  <c r="E57" i="15"/>
  <c r="G8" i="14"/>
  <c r="H8" i="36"/>
  <c r="F8" i="36"/>
  <c r="E41" i="14"/>
  <c r="G10" i="13"/>
  <c r="H10" i="35"/>
  <c r="E46" i="13"/>
  <c r="F10" i="35"/>
  <c r="G13" i="13"/>
  <c r="H13" i="35"/>
  <c r="E33" i="13"/>
  <c r="F13" i="35"/>
  <c r="G28" i="15"/>
  <c r="H28" i="37"/>
  <c r="E43" i="15"/>
  <c r="F28" i="37"/>
  <c r="D2" i="13"/>
  <c r="D38" i="13"/>
  <c r="D27" i="13"/>
  <c r="H27" i="13"/>
  <c r="D3" i="9"/>
  <c r="D3" i="8"/>
  <c r="D28" i="6"/>
  <c r="D26" i="6"/>
  <c r="D25" i="6"/>
  <c r="D24" i="6"/>
  <c r="D30" i="6"/>
  <c r="D29" i="6"/>
  <c r="D27" i="6"/>
  <c r="D23" i="6"/>
  <c r="D20" i="6"/>
  <c r="D2" i="6"/>
  <c r="D8" i="6"/>
  <c r="D6" i="6"/>
  <c r="D4" i="6"/>
  <c r="D17" i="6"/>
  <c r="D16" i="6"/>
  <c r="D14" i="6"/>
  <c r="D11" i="6"/>
  <c r="D7" i="6"/>
  <c r="D5" i="6"/>
  <c r="D22" i="6"/>
  <c r="D21" i="6"/>
  <c r="D19" i="6"/>
  <c r="D3" i="6"/>
  <c r="D18" i="6"/>
  <c r="D15" i="6"/>
  <c r="D13" i="6"/>
  <c r="D12" i="6"/>
  <c r="D10" i="6"/>
  <c r="D9" i="6"/>
  <c r="D20" i="14"/>
  <c r="H20" i="14"/>
  <c r="D17" i="13"/>
  <c r="H17" i="13"/>
  <c r="D23" i="14"/>
  <c r="H23" i="14"/>
  <c r="D29" i="13"/>
  <c r="H29" i="13"/>
  <c r="D21" i="13"/>
  <c r="H21" i="13"/>
  <c r="D17" i="14"/>
  <c r="H17" i="14"/>
  <c r="D22" i="14"/>
  <c r="E22" i="36"/>
  <c r="D29" i="14"/>
  <c r="H29" i="14"/>
  <c r="D19" i="13"/>
  <c r="D42" i="13"/>
  <c r="H42" i="13"/>
  <c r="I42" i="35"/>
  <c r="D3" i="13"/>
  <c r="H38" i="13"/>
  <c r="I38" i="35"/>
  <c r="E38" i="35"/>
  <c r="F71" i="37"/>
  <c r="G71" i="15"/>
  <c r="H71" i="37"/>
  <c r="F35" i="35"/>
  <c r="G35" i="13"/>
  <c r="H35" i="35"/>
  <c r="F43" i="35"/>
  <c r="G43" i="13"/>
  <c r="H43" i="35"/>
  <c r="F64" i="37"/>
  <c r="G64" i="15"/>
  <c r="E63" i="15"/>
  <c r="F32" i="37"/>
  <c r="G32" i="15"/>
  <c r="E31" i="15"/>
  <c r="F52" i="35"/>
  <c r="G52" i="13"/>
  <c r="H52" i="35"/>
  <c r="F55" i="37"/>
  <c r="G55" i="15"/>
  <c r="H55" i="37"/>
  <c r="D25" i="13"/>
  <c r="H25" i="13"/>
  <c r="D21" i="14"/>
  <c r="H21" i="14"/>
  <c r="D23" i="13"/>
  <c r="E23" i="35"/>
  <c r="F74" i="35"/>
  <c r="G74" i="13"/>
  <c r="H74" i="35"/>
  <c r="F67" i="36"/>
  <c r="G67" i="14"/>
  <c r="H67" i="36"/>
  <c r="E45" i="9"/>
  <c r="G46" i="9"/>
  <c r="G45" i="9"/>
  <c r="F66" i="37"/>
  <c r="G66" i="15"/>
  <c r="H66" i="37"/>
  <c r="F65" i="36"/>
  <c r="G65" i="14"/>
  <c r="H65" i="36"/>
  <c r="F52" i="36"/>
  <c r="G52" i="14"/>
  <c r="H52" i="36"/>
  <c r="F66" i="35"/>
  <c r="G66" i="13"/>
  <c r="H66" i="35"/>
  <c r="F36" i="36"/>
  <c r="G36" i="14"/>
  <c r="H36" i="36"/>
  <c r="F69" i="37"/>
  <c r="G69" i="15"/>
  <c r="H69" i="37"/>
  <c r="F68" i="35"/>
  <c r="G68" i="13"/>
  <c r="H68" i="35"/>
  <c r="F71" i="35"/>
  <c r="G71" i="13"/>
  <c r="H71" i="35"/>
  <c r="F73" i="35"/>
  <c r="G73" i="13"/>
  <c r="H73" i="35"/>
  <c r="F52" i="37"/>
  <c r="G52" i="15"/>
  <c r="H52" i="37"/>
  <c r="F40" i="35"/>
  <c r="G40" i="13"/>
  <c r="H40" i="35"/>
  <c r="F54" i="35"/>
  <c r="G54" i="13"/>
  <c r="H54" i="35"/>
  <c r="F38" i="35"/>
  <c r="G38" i="13"/>
  <c r="F37" i="35"/>
  <c r="G37" i="13"/>
  <c r="H37" i="35"/>
  <c r="F72" i="35"/>
  <c r="G72" i="13"/>
  <c r="H72" i="35"/>
  <c r="F49" i="35"/>
  <c r="G49" i="13"/>
  <c r="E48" i="13"/>
  <c r="F57" i="36"/>
  <c r="G57" i="14"/>
  <c r="H57" i="36"/>
  <c r="E48" i="9"/>
  <c r="G49" i="9"/>
  <c r="G48" i="9"/>
  <c r="F65" i="37"/>
  <c r="G65" i="15"/>
  <c r="H65" i="37"/>
  <c r="D28" i="13"/>
  <c r="E28" i="35"/>
  <c r="D24" i="14"/>
  <c r="H24" i="14"/>
  <c r="D30" i="13"/>
  <c r="H30" i="13"/>
  <c r="I30" i="35"/>
  <c r="F41" i="36"/>
  <c r="G41" i="14"/>
  <c r="H41" i="36"/>
  <c r="F58" i="35"/>
  <c r="G58" i="13"/>
  <c r="H58" i="35"/>
  <c r="F47" i="37"/>
  <c r="G47" i="15"/>
  <c r="H47" i="37"/>
  <c r="F32" i="36"/>
  <c r="E31" i="14"/>
  <c r="G32" i="14"/>
  <c r="F69" i="36"/>
  <c r="G69" i="14"/>
  <c r="H69" i="36"/>
  <c r="E45" i="14"/>
  <c r="F46" i="36"/>
  <c r="G46" i="14"/>
  <c r="F71" i="36"/>
  <c r="G71" i="14"/>
  <c r="H71" i="36"/>
  <c r="F51" i="37"/>
  <c r="G51" i="15"/>
  <c r="H51" i="37"/>
  <c r="F65" i="35"/>
  <c r="G65" i="13"/>
  <c r="H65" i="35"/>
  <c r="D24" i="13"/>
  <c r="H24" i="13"/>
  <c r="I24" i="35"/>
  <c r="D25" i="14"/>
  <c r="H25" i="14"/>
  <c r="I25" i="36"/>
  <c r="D26" i="13"/>
  <c r="F58" i="36"/>
  <c r="G58" i="14"/>
  <c r="H58" i="36"/>
  <c r="F56" i="36"/>
  <c r="G56" i="14"/>
  <c r="H56" i="36"/>
  <c r="F49" i="37"/>
  <c r="G49" i="15"/>
  <c r="E48" i="15"/>
  <c r="F34" i="36"/>
  <c r="G34" i="14"/>
  <c r="H34" i="36"/>
  <c r="F32" i="35"/>
  <c r="G32" i="13"/>
  <c r="H32" i="35"/>
  <c r="E31" i="13"/>
  <c r="F33" i="37"/>
  <c r="G33" i="15"/>
  <c r="H33" i="37"/>
  <c r="F55" i="36"/>
  <c r="G55" i="14"/>
  <c r="H55" i="36"/>
  <c r="F64" i="36"/>
  <c r="G64" i="14"/>
  <c r="E63" i="14"/>
  <c r="F51" i="35"/>
  <c r="G51" i="13"/>
  <c r="H51" i="35"/>
  <c r="E31" i="9"/>
  <c r="G32" i="9"/>
  <c r="G31" i="9"/>
  <c r="E45" i="13"/>
  <c r="F46" i="35"/>
  <c r="G46" i="13"/>
  <c r="F57" i="35"/>
  <c r="G57" i="13"/>
  <c r="H57" i="35"/>
  <c r="D20" i="13"/>
  <c r="H20" i="13"/>
  <c r="D26" i="14"/>
  <c r="D22" i="13"/>
  <c r="F72" i="36"/>
  <c r="G72" i="14"/>
  <c r="H72" i="36"/>
  <c r="F70" i="36"/>
  <c r="G70" i="14"/>
  <c r="H70" i="36"/>
  <c r="F76" i="35"/>
  <c r="G76" i="13"/>
  <c r="H76" i="35"/>
  <c r="F34" i="35"/>
  <c r="G34" i="13"/>
  <c r="H34" i="35"/>
  <c r="F47" i="36"/>
  <c r="G47" i="14"/>
  <c r="H47" i="36"/>
  <c r="F68" i="36"/>
  <c r="G68" i="14"/>
  <c r="H68" i="36"/>
  <c r="F59" i="37"/>
  <c r="G59" i="15"/>
  <c r="H59" i="37"/>
  <c r="F50" i="36"/>
  <c r="G50" i="14"/>
  <c r="H50" i="36"/>
  <c r="F67" i="35"/>
  <c r="G67" i="13"/>
  <c r="H67" i="35"/>
  <c r="E45" i="6"/>
  <c r="G46" i="6"/>
  <c r="G45" i="6"/>
  <c r="F40" i="37"/>
  <c r="G40" i="15"/>
  <c r="H40" i="37"/>
  <c r="D2" i="14"/>
  <c r="D38" i="14"/>
  <c r="D27" i="14"/>
  <c r="H27" i="14"/>
  <c r="D18" i="13"/>
  <c r="H18" i="13"/>
  <c r="I18" i="35"/>
  <c r="E63" i="9"/>
  <c r="G64" i="9"/>
  <c r="G63" i="9"/>
  <c r="E63" i="6"/>
  <c r="G64" i="6"/>
  <c r="G63" i="6"/>
  <c r="F39" i="36"/>
  <c r="G39" i="14"/>
  <c r="H39" i="36"/>
  <c r="F38" i="37"/>
  <c r="G38" i="15"/>
  <c r="H38" i="37"/>
  <c r="F59" i="36"/>
  <c r="G59" i="14"/>
  <c r="H59" i="36"/>
  <c r="F62" i="35"/>
  <c r="G62" i="13"/>
  <c r="H62" i="35"/>
  <c r="E48" i="6"/>
  <c r="G49" i="6"/>
  <c r="G48" i="6"/>
  <c r="F61" i="36"/>
  <c r="G61" i="14"/>
  <c r="H61" i="36"/>
  <c r="E45" i="8"/>
  <c r="G46" i="8"/>
  <c r="G45" i="8"/>
  <c r="F36" i="37"/>
  <c r="G36" i="15"/>
  <c r="H36" i="37"/>
  <c r="F72" i="37"/>
  <c r="G72" i="15"/>
  <c r="H72" i="37"/>
  <c r="F76" i="36"/>
  <c r="G76" i="14"/>
  <c r="H76" i="36"/>
  <c r="F54" i="36"/>
  <c r="G54" i="14"/>
  <c r="H54" i="36"/>
  <c r="F73" i="37"/>
  <c r="G73" i="15"/>
  <c r="H73" i="37"/>
  <c r="F38" i="36"/>
  <c r="G38" i="14"/>
  <c r="H38" i="36"/>
  <c r="F53" i="35"/>
  <c r="G53" i="13"/>
  <c r="H53" i="35"/>
  <c r="F41" i="35"/>
  <c r="G41" i="13"/>
  <c r="H41" i="35"/>
  <c r="F76" i="37"/>
  <c r="G76" i="15"/>
  <c r="H76" i="37"/>
  <c r="D3" i="14"/>
  <c r="E3" i="36"/>
  <c r="D28" i="14"/>
  <c r="F43" i="37"/>
  <c r="G43" i="15"/>
  <c r="H43" i="37"/>
  <c r="F40" i="36"/>
  <c r="G40" i="14"/>
  <c r="H40" i="36"/>
  <c r="F73" i="36"/>
  <c r="G73" i="14"/>
  <c r="H73" i="36"/>
  <c r="F75" i="36"/>
  <c r="G75" i="14"/>
  <c r="H75" i="36"/>
  <c r="F58" i="37"/>
  <c r="G58" i="15"/>
  <c r="H58" i="37"/>
  <c r="F55" i="35"/>
  <c r="G55" i="13"/>
  <c r="H55" i="35"/>
  <c r="F70" i="37"/>
  <c r="G70" i="15"/>
  <c r="H70" i="37"/>
  <c r="F62" i="36"/>
  <c r="G62" i="14"/>
  <c r="H62" i="36"/>
  <c r="F42" i="35"/>
  <c r="G42" i="13"/>
  <c r="H42" i="35"/>
  <c r="F47" i="35"/>
  <c r="G47" i="13"/>
  <c r="H47" i="35"/>
  <c r="F42" i="36"/>
  <c r="G42" i="14"/>
  <c r="H42" i="36"/>
  <c r="E31" i="8"/>
  <c r="G32" i="8"/>
  <c r="G31" i="8"/>
  <c r="F41" i="37"/>
  <c r="G41" i="15"/>
  <c r="H41" i="37"/>
  <c r="F64" i="35"/>
  <c r="G64" i="13"/>
  <c r="E63" i="13"/>
  <c r="F35" i="36"/>
  <c r="G35" i="14"/>
  <c r="H35" i="36"/>
  <c r="E63" i="8"/>
  <c r="G64" i="8"/>
  <c r="G63" i="8"/>
  <c r="F43" i="36"/>
  <c r="G43" i="14"/>
  <c r="H43" i="36"/>
  <c r="F53" i="36"/>
  <c r="G53" i="14"/>
  <c r="H53" i="36"/>
  <c r="D12" i="14"/>
  <c r="H12" i="14"/>
  <c r="D18" i="15"/>
  <c r="H18" i="15"/>
  <c r="D6" i="15"/>
  <c r="D26" i="15"/>
  <c r="E26" i="37"/>
  <c r="D11" i="13"/>
  <c r="H11" i="13"/>
  <c r="I11" i="35"/>
  <c r="D15" i="15"/>
  <c r="E15" i="37"/>
  <c r="D3" i="15"/>
  <c r="D30" i="15"/>
  <c r="E30" i="37"/>
  <c r="D21" i="15"/>
  <c r="H21" i="15"/>
  <c r="D24" i="15"/>
  <c r="H24" i="15"/>
  <c r="D12" i="15"/>
  <c r="H12" i="15"/>
  <c r="D28" i="15"/>
  <c r="E28" i="37"/>
  <c r="D9" i="15"/>
  <c r="H9" i="15"/>
  <c r="D9" i="13"/>
  <c r="H9" i="13"/>
  <c r="I9" i="35"/>
  <c r="D9" i="14"/>
  <c r="H9" i="14"/>
  <c r="I9" i="36"/>
  <c r="D14" i="15"/>
  <c r="H14" i="15"/>
  <c r="D16" i="14"/>
  <c r="H16" i="14"/>
  <c r="D6" i="13"/>
  <c r="E6" i="35"/>
  <c r="D8" i="13"/>
  <c r="H8" i="13"/>
  <c r="I8" i="35"/>
  <c r="D4" i="15"/>
  <c r="E4" i="37"/>
  <c r="D17" i="15"/>
  <c r="H17" i="15"/>
  <c r="D13" i="14"/>
  <c r="D7" i="15"/>
  <c r="H7" i="15"/>
  <c r="D20" i="15"/>
  <c r="H20" i="15"/>
  <c r="D10" i="14"/>
  <c r="H10" i="14"/>
  <c r="I10" i="36"/>
  <c r="D10" i="15"/>
  <c r="H10" i="15"/>
  <c r="D27" i="15"/>
  <c r="H27" i="15"/>
  <c r="D23" i="15"/>
  <c r="H23" i="15"/>
  <c r="I23" i="37"/>
  <c r="D4" i="13"/>
  <c r="E4" i="35"/>
  <c r="D15" i="14"/>
  <c r="D7" i="14"/>
  <c r="H7" i="14"/>
  <c r="I7" i="36"/>
  <c r="D16" i="13"/>
  <c r="H16" i="13"/>
  <c r="I16" i="35"/>
  <c r="D13" i="15"/>
  <c r="D11" i="15"/>
  <c r="E11" i="37"/>
  <c r="D14" i="13"/>
  <c r="H14" i="13"/>
  <c r="I14" i="35"/>
  <c r="D14" i="14"/>
  <c r="H14" i="14"/>
  <c r="D4" i="14"/>
  <c r="E4" i="36"/>
  <c r="D13" i="13"/>
  <c r="D16" i="15"/>
  <c r="H16" i="15"/>
  <c r="D11" i="14"/>
  <c r="D10" i="13"/>
  <c r="D19" i="15"/>
  <c r="H19" i="15"/>
  <c r="I19" i="37"/>
  <c r="D6" i="14"/>
  <c r="E6" i="36"/>
  <c r="D8" i="14"/>
  <c r="D7" i="13"/>
  <c r="H7" i="13"/>
  <c r="D22" i="15"/>
  <c r="E22" i="37"/>
  <c r="D5" i="13"/>
  <c r="H5" i="13"/>
  <c r="D5" i="14"/>
  <c r="H5" i="14"/>
  <c r="D29" i="15"/>
  <c r="H29" i="15"/>
  <c r="I29" i="37"/>
  <c r="D5" i="15"/>
  <c r="H5" i="15"/>
  <c r="D15" i="13"/>
  <c r="D8" i="15"/>
  <c r="E8" i="37"/>
  <c r="D12" i="13"/>
  <c r="H12" i="13"/>
  <c r="F34" i="37"/>
  <c r="G34" i="15"/>
  <c r="H34" i="37"/>
  <c r="F61" i="37"/>
  <c r="G61" i="15"/>
  <c r="H61" i="37"/>
  <c r="F69" i="35"/>
  <c r="G69" i="13"/>
  <c r="H69" i="35"/>
  <c r="F56" i="37"/>
  <c r="G56" i="15"/>
  <c r="H56" i="37"/>
  <c r="F50" i="35"/>
  <c r="G50" i="13"/>
  <c r="H50" i="35"/>
  <c r="F74" i="37"/>
  <c r="G74" i="15"/>
  <c r="H74" i="37"/>
  <c r="F60" i="36"/>
  <c r="G60" i="14"/>
  <c r="H60" i="36"/>
  <c r="F35" i="37"/>
  <c r="G35" i="15"/>
  <c r="H35" i="37"/>
  <c r="E48" i="8"/>
  <c r="G49" i="8"/>
  <c r="G48" i="8"/>
  <c r="F60" i="35"/>
  <c r="G60" i="13"/>
  <c r="H60" i="35"/>
  <c r="F51" i="36"/>
  <c r="G51" i="14"/>
  <c r="H51" i="36"/>
  <c r="F66" i="36"/>
  <c r="G66" i="14"/>
  <c r="H66" i="36"/>
  <c r="D18" i="14"/>
  <c r="H18" i="14"/>
  <c r="I18" i="36"/>
  <c r="D30" i="14"/>
  <c r="E45" i="15"/>
  <c r="F46" i="37"/>
  <c r="G46" i="15"/>
  <c r="F75" i="35"/>
  <c r="G75" i="13"/>
  <c r="H75" i="35"/>
  <c r="F75" i="37"/>
  <c r="G75" i="15"/>
  <c r="H75" i="37"/>
  <c r="F37" i="36"/>
  <c r="G37" i="14"/>
  <c r="H37" i="36"/>
  <c r="F39" i="35"/>
  <c r="G39" i="13"/>
  <c r="H39" i="35"/>
  <c r="F56" i="35"/>
  <c r="G56" i="13"/>
  <c r="H56" i="35"/>
  <c r="F68" i="37"/>
  <c r="G68" i="15"/>
  <c r="H68" i="37"/>
  <c r="F42" i="37"/>
  <c r="G42" i="15"/>
  <c r="H42" i="37"/>
  <c r="F49" i="36"/>
  <c r="G49" i="14"/>
  <c r="E48" i="14"/>
  <c r="F44" i="37"/>
  <c r="G44" i="15"/>
  <c r="H44" i="37"/>
  <c r="F44" i="36"/>
  <c r="G44" i="14"/>
  <c r="H44" i="36"/>
  <c r="F60" i="37"/>
  <c r="G60" i="15"/>
  <c r="H60" i="37"/>
  <c r="F74" i="36"/>
  <c r="G74" i="14"/>
  <c r="H74" i="36"/>
  <c r="F36" i="35"/>
  <c r="G36" i="13"/>
  <c r="H36" i="35"/>
  <c r="F53" i="37"/>
  <c r="G53" i="15"/>
  <c r="H53" i="37"/>
  <c r="D19" i="14"/>
  <c r="H19" i="14"/>
  <c r="I19" i="36"/>
  <c r="D25" i="15"/>
  <c r="H25" i="15"/>
  <c r="F33" i="35"/>
  <c r="G33" i="13"/>
  <c r="H33" i="35"/>
  <c r="F57" i="37"/>
  <c r="G57" i="15"/>
  <c r="H57" i="37"/>
  <c r="F61" i="35"/>
  <c r="G61" i="13"/>
  <c r="H61" i="35"/>
  <c r="F59" i="35"/>
  <c r="G59" i="13"/>
  <c r="H59" i="35"/>
  <c r="F44" i="35"/>
  <c r="G44" i="13"/>
  <c r="H44" i="35"/>
  <c r="F62" i="37"/>
  <c r="G62" i="15"/>
  <c r="H62" i="37"/>
  <c r="F70" i="35"/>
  <c r="G70" i="13"/>
  <c r="H70" i="35"/>
  <c r="F54" i="37"/>
  <c r="G54" i="15"/>
  <c r="H54" i="37"/>
  <c r="F50" i="37"/>
  <c r="G50" i="15"/>
  <c r="H50" i="37"/>
  <c r="E31" i="6"/>
  <c r="G32" i="6"/>
  <c r="G31" i="6"/>
  <c r="F39" i="37"/>
  <c r="G39" i="15"/>
  <c r="H39" i="37"/>
  <c r="F33" i="36"/>
  <c r="G33" i="14"/>
  <c r="H33" i="36"/>
  <c r="F37" i="37"/>
  <c r="G37" i="15"/>
  <c r="H37" i="37"/>
  <c r="F67" i="37"/>
  <c r="G67" i="15"/>
  <c r="H67" i="37"/>
  <c r="D49" i="14"/>
  <c r="E49" i="36"/>
  <c r="D46" i="15"/>
  <c r="E46" i="37"/>
  <c r="D35" i="13"/>
  <c r="D74" i="6"/>
  <c r="H74" i="6"/>
  <c r="D60" i="6"/>
  <c r="H60" i="6"/>
  <c r="H12" i="6"/>
  <c r="D44" i="6"/>
  <c r="H44" i="6"/>
  <c r="H15" i="6"/>
  <c r="D42" i="6"/>
  <c r="H42" i="6"/>
  <c r="H19" i="6"/>
  <c r="D37" i="6"/>
  <c r="H37" i="6"/>
  <c r="H22" i="6"/>
  <c r="D59" i="6"/>
  <c r="H59" i="6"/>
  <c r="D73" i="6"/>
  <c r="H73" i="6"/>
  <c r="H7" i="6"/>
  <c r="D39" i="6"/>
  <c r="H39" i="6"/>
  <c r="H11" i="6"/>
  <c r="D66" i="6"/>
  <c r="H66" i="6"/>
  <c r="D52" i="6"/>
  <c r="H52" i="6"/>
  <c r="H17" i="6"/>
  <c r="D41" i="6"/>
  <c r="H41" i="6"/>
  <c r="H8" i="6"/>
  <c r="D35" i="6"/>
  <c r="H35" i="6"/>
  <c r="H30" i="6"/>
  <c r="D40" i="9"/>
  <c r="H40" i="9"/>
  <c r="D65" i="9"/>
  <c r="H65" i="9"/>
  <c r="D51" i="9"/>
  <c r="H51" i="9"/>
  <c r="D49" i="8"/>
  <c r="D34" i="9"/>
  <c r="H34" i="9"/>
  <c r="D40" i="8"/>
  <c r="H40" i="8"/>
  <c r="H3" i="9"/>
  <c r="D32" i="9"/>
  <c r="D41" i="8"/>
  <c r="H41" i="8"/>
  <c r="D39" i="9"/>
  <c r="H39" i="9"/>
  <c r="D50" i="9"/>
  <c r="H50" i="9"/>
  <c r="D64" i="9"/>
  <c r="D43" i="9"/>
  <c r="H43" i="9"/>
  <c r="D70" i="8"/>
  <c r="H70" i="8"/>
  <c r="D56" i="8"/>
  <c r="H56" i="8"/>
  <c r="D36" i="8"/>
  <c r="H36" i="8"/>
  <c r="D54" i="9"/>
  <c r="H54" i="9"/>
  <c r="D68" i="9"/>
  <c r="H68" i="9"/>
  <c r="D49" i="9"/>
  <c r="D72" i="9"/>
  <c r="H72" i="9"/>
  <c r="D58" i="9"/>
  <c r="H58" i="9"/>
  <c r="D46" i="6"/>
  <c r="H10" i="6"/>
  <c r="D75" i="6"/>
  <c r="H75" i="6"/>
  <c r="D61" i="6"/>
  <c r="H61" i="6"/>
  <c r="H18" i="6"/>
  <c r="H21" i="6"/>
  <c r="D51" i="6"/>
  <c r="H51" i="6"/>
  <c r="D65" i="6"/>
  <c r="H65" i="6"/>
  <c r="H14" i="6"/>
  <c r="D34" i="6"/>
  <c r="H34" i="6"/>
  <c r="D38" i="6"/>
  <c r="H38" i="6"/>
  <c r="H2" i="6"/>
  <c r="D73" i="8"/>
  <c r="H73" i="8"/>
  <c r="D59" i="8"/>
  <c r="H59" i="8"/>
  <c r="D46" i="9"/>
  <c r="D69" i="9"/>
  <c r="H69" i="9"/>
  <c r="D55" i="9"/>
  <c r="H55" i="9"/>
  <c r="D57" i="8"/>
  <c r="H57" i="8"/>
  <c r="D71" i="8"/>
  <c r="H71" i="8"/>
  <c r="D71" i="9"/>
  <c r="H71" i="9"/>
  <c r="D57" i="9"/>
  <c r="H57" i="9"/>
  <c r="D60" i="8"/>
  <c r="H60" i="8"/>
  <c r="D74" i="8"/>
  <c r="H74" i="8"/>
  <c r="D73" i="9"/>
  <c r="H73" i="9"/>
  <c r="D59" i="9"/>
  <c r="H59" i="9"/>
  <c r="D46" i="8"/>
  <c r="D61" i="9"/>
  <c r="H61" i="9"/>
  <c r="D75" i="9"/>
  <c r="H75" i="9"/>
  <c r="D38" i="8"/>
  <c r="H38" i="8"/>
  <c r="D33" i="8"/>
  <c r="H33" i="8"/>
  <c r="D51" i="8"/>
  <c r="H51" i="8"/>
  <c r="D65" i="8"/>
  <c r="H65" i="8"/>
  <c r="D43" i="8"/>
  <c r="H43" i="8"/>
  <c r="D74" i="9"/>
  <c r="H74" i="9"/>
  <c r="D60" i="9"/>
  <c r="H60" i="9"/>
  <c r="D36" i="9"/>
  <c r="H36" i="9"/>
  <c r="D58" i="8"/>
  <c r="H58" i="8"/>
  <c r="D72" i="8"/>
  <c r="H72" i="8"/>
  <c r="H3" i="7"/>
  <c r="D32" i="6"/>
  <c r="H3" i="6"/>
  <c r="D40" i="6"/>
  <c r="H40" i="6"/>
  <c r="H4" i="6"/>
  <c r="H20" i="6"/>
  <c r="D70" i="6"/>
  <c r="H70" i="6"/>
  <c r="D56" i="6"/>
  <c r="H56" i="6"/>
  <c r="D49" i="6"/>
  <c r="H23" i="6"/>
  <c r="H27" i="6"/>
  <c r="D76" i="6"/>
  <c r="H76" i="6"/>
  <c r="D62" i="6"/>
  <c r="H62" i="6"/>
  <c r="D69" i="6"/>
  <c r="H69" i="6"/>
  <c r="H24" i="6"/>
  <c r="D55" i="6"/>
  <c r="H55" i="6"/>
  <c r="H28" i="6"/>
  <c r="D43" i="6"/>
  <c r="H43" i="6"/>
  <c r="D68" i="8"/>
  <c r="H68" i="8"/>
  <c r="D54" i="8"/>
  <c r="H54" i="8"/>
  <c r="D52" i="9"/>
  <c r="H52" i="9"/>
  <c r="D66" i="9"/>
  <c r="H66" i="9"/>
  <c r="D35" i="9"/>
  <c r="H35" i="9"/>
  <c r="D53" i="9"/>
  <c r="H53" i="9"/>
  <c r="D67" i="9"/>
  <c r="H67" i="9"/>
  <c r="D34" i="8"/>
  <c r="H34" i="8"/>
  <c r="D62" i="9"/>
  <c r="H62" i="9"/>
  <c r="D76" i="9"/>
  <c r="H76" i="9"/>
  <c r="D55" i="8"/>
  <c r="H55" i="8"/>
  <c r="D69" i="8"/>
  <c r="H69" i="8"/>
  <c r="D70" i="9"/>
  <c r="H70" i="9"/>
  <c r="D56" i="9"/>
  <c r="H56" i="9"/>
  <c r="D66" i="8"/>
  <c r="H66" i="8"/>
  <c r="D52" i="8"/>
  <c r="H52" i="8"/>
  <c r="D75" i="8"/>
  <c r="H75" i="8"/>
  <c r="D61" i="8"/>
  <c r="H61" i="8"/>
  <c r="D37" i="8"/>
  <c r="H37" i="8"/>
  <c r="D38" i="9"/>
  <c r="H38" i="9"/>
  <c r="D33" i="9"/>
  <c r="H33" i="9"/>
  <c r="D68" i="6"/>
  <c r="H68" i="6"/>
  <c r="D54" i="6"/>
  <c r="H54" i="6"/>
  <c r="H9" i="6"/>
  <c r="D33" i="6"/>
  <c r="H33" i="6"/>
  <c r="H13" i="6"/>
  <c r="H5" i="6"/>
  <c r="D67" i="6"/>
  <c r="H67" i="6"/>
  <c r="D53" i="6"/>
  <c r="H53" i="6"/>
  <c r="D72" i="6"/>
  <c r="H72" i="6"/>
  <c r="D58" i="6"/>
  <c r="H58" i="6"/>
  <c r="H16" i="6"/>
  <c r="D47" i="6"/>
  <c r="H47" i="6"/>
  <c r="H6" i="6"/>
  <c r="D57" i="6"/>
  <c r="H57" i="6"/>
  <c r="H29" i="6"/>
  <c r="D71" i="6"/>
  <c r="H71" i="6"/>
  <c r="H25" i="6"/>
  <c r="D50" i="6"/>
  <c r="H50" i="6"/>
  <c r="D64" i="6"/>
  <c r="D36" i="6"/>
  <c r="H36" i="6"/>
  <c r="H26" i="6"/>
  <c r="D39" i="8"/>
  <c r="H39" i="8"/>
  <c r="D42" i="9"/>
  <c r="H42" i="9"/>
  <c r="D67" i="8"/>
  <c r="H67" i="8"/>
  <c r="D53" i="8"/>
  <c r="H53" i="8"/>
  <c r="D47" i="9"/>
  <c r="H47" i="9"/>
  <c r="H3" i="8"/>
  <c r="D32" i="8"/>
  <c r="D44" i="8"/>
  <c r="H44" i="8"/>
  <c r="D47" i="8"/>
  <c r="H47" i="8"/>
  <c r="D35" i="8"/>
  <c r="H35" i="8"/>
  <c r="D37" i="9"/>
  <c r="H37" i="9"/>
  <c r="D76" i="8"/>
  <c r="H76" i="8"/>
  <c r="D62" i="8"/>
  <c r="H62" i="8"/>
  <c r="D42" i="8"/>
  <c r="H42" i="8"/>
  <c r="D64" i="8"/>
  <c r="D50" i="8"/>
  <c r="H50" i="8"/>
  <c r="D41" i="9"/>
  <c r="H41" i="9"/>
  <c r="D44" i="9"/>
  <c r="H44" i="9"/>
  <c r="D57" i="13"/>
  <c r="D71" i="13"/>
  <c r="D50" i="13"/>
  <c r="D64" i="13"/>
  <c r="E64" i="35"/>
  <c r="D54" i="15"/>
  <c r="D68" i="15"/>
  <c r="D59" i="13"/>
  <c r="D73" i="13"/>
  <c r="D52" i="13"/>
  <c r="D66" i="13"/>
  <c r="D51" i="13"/>
  <c r="D65" i="13"/>
  <c r="D56" i="15"/>
  <c r="D51" i="15"/>
  <c r="D65" i="15"/>
  <c r="D60" i="13"/>
  <c r="D74" i="13"/>
  <c r="D56" i="13"/>
  <c r="D70" i="13"/>
  <c r="D58" i="15"/>
  <c r="D72" i="15"/>
  <c r="D62" i="15"/>
  <c r="D76" i="15"/>
  <c r="D53" i="15"/>
  <c r="D60" i="15"/>
  <c r="D74" i="15"/>
  <c r="D62" i="13"/>
  <c r="D76" i="13"/>
  <c r="D66" i="15"/>
  <c r="E66" i="37"/>
  <c r="D61" i="15"/>
  <c r="D75" i="15"/>
  <c r="D55" i="15"/>
  <c r="D69" i="15"/>
  <c r="D60" i="14"/>
  <c r="D74" i="14"/>
  <c r="D58" i="14"/>
  <c r="D72" i="14"/>
  <c r="D51" i="14"/>
  <c r="D65" i="14"/>
  <c r="D55" i="14"/>
  <c r="D53" i="14"/>
  <c r="D67" i="14"/>
  <c r="D52" i="14"/>
  <c r="D66" i="14"/>
  <c r="E66" i="36"/>
  <c r="D62" i="14"/>
  <c r="D76" i="14"/>
  <c r="D56" i="14"/>
  <c r="D70" i="14"/>
  <c r="D57" i="14"/>
  <c r="I7" i="35"/>
  <c r="E7" i="35"/>
  <c r="H2" i="13"/>
  <c r="I2" i="35"/>
  <c r="E2" i="35"/>
  <c r="E10" i="35"/>
  <c r="E22" i="35"/>
  <c r="I29" i="35"/>
  <c r="E29" i="35"/>
  <c r="I12" i="36"/>
  <c r="E12" i="36"/>
  <c r="E8" i="36"/>
  <c r="I25" i="35"/>
  <c r="E25" i="35"/>
  <c r="E26" i="35"/>
  <c r="E30" i="35"/>
  <c r="E13" i="36"/>
  <c r="I16" i="36"/>
  <c r="E16" i="36"/>
  <c r="I21" i="36"/>
  <c r="E21" i="36"/>
  <c r="I24" i="36"/>
  <c r="E6" i="37"/>
  <c r="E28" i="36"/>
  <c r="I9" i="37"/>
  <c r="E9" i="37"/>
  <c r="I12" i="35"/>
  <c r="E12" i="35"/>
  <c r="E13" i="35"/>
  <c r="I17" i="35"/>
  <c r="E17" i="35"/>
  <c r="I21" i="35"/>
  <c r="E21" i="35"/>
  <c r="I17" i="36"/>
  <c r="E17" i="36"/>
  <c r="I27" i="36"/>
  <c r="E27" i="36"/>
  <c r="E3" i="37"/>
  <c r="I20" i="37"/>
  <c r="E20" i="37"/>
  <c r="I25" i="37"/>
  <c r="E25" i="37"/>
  <c r="E30" i="36"/>
  <c r="I21" i="37"/>
  <c r="E21" i="37"/>
  <c r="I5" i="35"/>
  <c r="I5" i="36"/>
  <c r="E5" i="36"/>
  <c r="E11" i="36"/>
  <c r="I20" i="35"/>
  <c r="E20" i="35"/>
  <c r="E26" i="36"/>
  <c r="I16" i="37"/>
  <c r="E16" i="37"/>
  <c r="I27" i="37"/>
  <c r="E27" i="37"/>
  <c r="I5" i="37"/>
  <c r="E5" i="37"/>
  <c r="I7" i="37"/>
  <c r="E7" i="37"/>
  <c r="I12" i="37"/>
  <c r="E12" i="37"/>
  <c r="E3" i="35"/>
  <c r="E15" i="36"/>
  <c r="E15" i="35"/>
  <c r="I14" i="36"/>
  <c r="E14" i="36"/>
  <c r="I27" i="35"/>
  <c r="E27" i="35"/>
  <c r="H2" i="14"/>
  <c r="I2" i="36"/>
  <c r="E2" i="36"/>
  <c r="I20" i="36"/>
  <c r="E20" i="36"/>
  <c r="I23" i="36"/>
  <c r="E23" i="36"/>
  <c r="E13" i="37"/>
  <c r="I14" i="37"/>
  <c r="E14" i="37"/>
  <c r="I17" i="37"/>
  <c r="E17" i="37"/>
  <c r="I18" i="37"/>
  <c r="E18" i="37"/>
  <c r="I24" i="37"/>
  <c r="E24" i="37"/>
  <c r="I10" i="37"/>
  <c r="E10" i="37"/>
  <c r="I29" i="36"/>
  <c r="E29" i="36"/>
  <c r="E9" i="35"/>
  <c r="D73" i="15"/>
  <c r="D59" i="15"/>
  <c r="D34" i="14"/>
  <c r="E24" i="35"/>
  <c r="D50" i="14"/>
  <c r="D68" i="13"/>
  <c r="E68" i="35"/>
  <c r="D70" i="15"/>
  <c r="H19" i="13"/>
  <c r="I19" i="35"/>
  <c r="E23" i="37"/>
  <c r="E18" i="35"/>
  <c r="E14" i="35"/>
  <c r="D54" i="13"/>
  <c r="H54" i="13"/>
  <c r="I54" i="35"/>
  <c r="D69" i="13"/>
  <c r="E25" i="36"/>
  <c r="D55" i="13"/>
  <c r="H55" i="13"/>
  <c r="I55" i="35"/>
  <c r="E19" i="35"/>
  <c r="D75" i="13"/>
  <c r="H75" i="13"/>
  <c r="I75" i="35"/>
  <c r="D68" i="14"/>
  <c r="D61" i="13"/>
  <c r="D64" i="14"/>
  <c r="E64" i="36"/>
  <c r="E19" i="37"/>
  <c r="D54" i="14"/>
  <c r="D67" i="15"/>
  <c r="H67" i="15"/>
  <c r="I67" i="37"/>
  <c r="D67" i="13"/>
  <c r="E67" i="35"/>
  <c r="E5" i="35"/>
  <c r="E9" i="36"/>
  <c r="D71" i="14"/>
  <c r="D53" i="13"/>
  <c r="E8" i="35"/>
  <c r="E24" i="36"/>
  <c r="D69" i="14"/>
  <c r="D49" i="15"/>
  <c r="E49" i="37"/>
  <c r="D45" i="15"/>
  <c r="H46" i="15"/>
  <c r="H49" i="14"/>
  <c r="I49" i="36"/>
  <c r="D34" i="13"/>
  <c r="E34" i="35"/>
  <c r="D41" i="13"/>
  <c r="E41" i="35"/>
  <c r="D31" i="9"/>
  <c r="D34" i="15"/>
  <c r="D52" i="15"/>
  <c r="D42" i="15"/>
  <c r="H42" i="15"/>
  <c r="I42" i="37"/>
  <c r="E42" i="35"/>
  <c r="E29" i="37"/>
  <c r="H3" i="13"/>
  <c r="I3" i="35"/>
  <c r="D32" i="13"/>
  <c r="E7" i="36"/>
  <c r="D73" i="14"/>
  <c r="E73" i="36"/>
  <c r="D59" i="14"/>
  <c r="E59" i="36"/>
  <c r="D64" i="15"/>
  <c r="E64" i="37"/>
  <c r="D71" i="15"/>
  <c r="E71" i="37"/>
  <c r="D50" i="15"/>
  <c r="E50" i="37"/>
  <c r="D57" i="15"/>
  <c r="H57" i="15"/>
  <c r="I57" i="37"/>
  <c r="H22" i="14"/>
  <c r="I22" i="36"/>
  <c r="D37" i="14"/>
  <c r="F31" i="36"/>
  <c r="H70" i="14"/>
  <c r="I70" i="36"/>
  <c r="E70" i="36"/>
  <c r="H73" i="14"/>
  <c r="I73" i="36"/>
  <c r="H76" i="13"/>
  <c r="I76" i="35"/>
  <c r="E76" i="35"/>
  <c r="H62" i="15"/>
  <c r="I62" i="37"/>
  <c r="E62" i="37"/>
  <c r="H60" i="13"/>
  <c r="I60" i="35"/>
  <c r="E60" i="35"/>
  <c r="H73" i="13"/>
  <c r="I73" i="35"/>
  <c r="E73" i="35"/>
  <c r="H57" i="13"/>
  <c r="I57" i="35"/>
  <c r="E57" i="35"/>
  <c r="G45" i="15"/>
  <c r="H46" i="37"/>
  <c r="H15" i="13"/>
  <c r="I15" i="35"/>
  <c r="D44" i="13"/>
  <c r="H11" i="14"/>
  <c r="I11" i="36"/>
  <c r="D39" i="14"/>
  <c r="H13" i="15"/>
  <c r="I13" i="37"/>
  <c r="D33" i="15"/>
  <c r="H13" i="14"/>
  <c r="I13" i="36"/>
  <c r="D33" i="14"/>
  <c r="H38" i="14"/>
  <c r="I38" i="36"/>
  <c r="E38" i="36"/>
  <c r="H22" i="13"/>
  <c r="I22" i="35"/>
  <c r="D37" i="13"/>
  <c r="H32" i="36"/>
  <c r="H31" i="36"/>
  <c r="G31" i="14"/>
  <c r="D49" i="13"/>
  <c r="H23" i="13"/>
  <c r="I23" i="35"/>
  <c r="F63" i="37"/>
  <c r="H56" i="13"/>
  <c r="I56" i="35"/>
  <c r="E56" i="35"/>
  <c r="E18" i="36"/>
  <c r="H56" i="14"/>
  <c r="I56" i="36"/>
  <c r="E56" i="36"/>
  <c r="H62" i="13"/>
  <c r="I62" i="35"/>
  <c r="E62" i="35"/>
  <c r="H72" i="15"/>
  <c r="I72" i="37"/>
  <c r="E72" i="37"/>
  <c r="H65" i="15"/>
  <c r="I65" i="37"/>
  <c r="E65" i="37"/>
  <c r="H59" i="13"/>
  <c r="I59" i="35"/>
  <c r="E59" i="35"/>
  <c r="H41" i="13"/>
  <c r="I41" i="35"/>
  <c r="F45" i="37"/>
  <c r="H26" i="14"/>
  <c r="I26" i="36"/>
  <c r="D36" i="14"/>
  <c r="H68" i="14"/>
  <c r="I68" i="36"/>
  <c r="E68" i="36"/>
  <c r="H74" i="14"/>
  <c r="I74" i="36"/>
  <c r="E74" i="36"/>
  <c r="H58" i="15"/>
  <c r="I58" i="37"/>
  <c r="E58" i="37"/>
  <c r="H51" i="15"/>
  <c r="I51" i="37"/>
  <c r="E51" i="37"/>
  <c r="H68" i="15"/>
  <c r="I68" i="37"/>
  <c r="E68" i="37"/>
  <c r="D39" i="13"/>
  <c r="H64" i="36"/>
  <c r="H63" i="36"/>
  <c r="G63" i="14"/>
  <c r="H49" i="37"/>
  <c r="G48" i="15"/>
  <c r="H54" i="14"/>
  <c r="I54" i="36"/>
  <c r="E54" i="36"/>
  <c r="H60" i="14"/>
  <c r="I60" i="36"/>
  <c r="E60" i="36"/>
  <c r="H68" i="13"/>
  <c r="I68" i="35"/>
  <c r="H70" i="13"/>
  <c r="I70" i="35"/>
  <c r="E70" i="35"/>
  <c r="H54" i="15"/>
  <c r="I54" i="37"/>
  <c r="E54" i="37"/>
  <c r="H30" i="14"/>
  <c r="I30" i="36"/>
  <c r="D35" i="14"/>
  <c r="H8" i="14"/>
  <c r="I8" i="36"/>
  <c r="D41" i="14"/>
  <c r="F63" i="36"/>
  <c r="F48" i="37"/>
  <c r="H45" i="37"/>
  <c r="H34" i="15"/>
  <c r="I34" i="37"/>
  <c r="E34" i="37"/>
  <c r="G31" i="13"/>
  <c r="H38" i="35"/>
  <c r="H50" i="14"/>
  <c r="I50" i="36"/>
  <c r="E50" i="36"/>
  <c r="H53" i="14"/>
  <c r="I53" i="36"/>
  <c r="E53" i="36"/>
  <c r="I46" i="37"/>
  <c r="H74" i="15"/>
  <c r="I74" i="37"/>
  <c r="E74" i="37"/>
  <c r="H69" i="13"/>
  <c r="I69" i="35"/>
  <c r="E69" i="35"/>
  <c r="H70" i="15"/>
  <c r="I70" i="37"/>
  <c r="E70" i="37"/>
  <c r="E57" i="37"/>
  <c r="D42" i="14"/>
  <c r="H4" i="15"/>
  <c r="I4" i="37"/>
  <c r="D40" i="15"/>
  <c r="F63" i="35"/>
  <c r="G45" i="13"/>
  <c r="H46" i="35"/>
  <c r="H45" i="35"/>
  <c r="H67" i="14"/>
  <c r="I67" i="36"/>
  <c r="E67" i="36"/>
  <c r="H71" i="15"/>
  <c r="I71" i="37"/>
  <c r="H76" i="14"/>
  <c r="I76" i="36"/>
  <c r="E76" i="36"/>
  <c r="H69" i="14"/>
  <c r="I69" i="36"/>
  <c r="E69" i="36"/>
  <c r="H69" i="15"/>
  <c r="I69" i="37"/>
  <c r="E69" i="37"/>
  <c r="H60" i="15"/>
  <c r="I60" i="37"/>
  <c r="E60" i="37"/>
  <c r="E55" i="35"/>
  <c r="H56" i="15"/>
  <c r="I56" i="37"/>
  <c r="E56" i="37"/>
  <c r="H13" i="13"/>
  <c r="I13" i="35"/>
  <c r="D33" i="13"/>
  <c r="H15" i="14"/>
  <c r="I15" i="36"/>
  <c r="D44" i="14"/>
  <c r="F45" i="35"/>
  <c r="G45" i="14"/>
  <c r="H46" i="36"/>
  <c r="H45" i="36"/>
  <c r="E10" i="36"/>
  <c r="E19" i="36"/>
  <c r="E16" i="35"/>
  <c r="H62" i="14"/>
  <c r="I62" i="36"/>
  <c r="E62" i="36"/>
  <c r="H55" i="14"/>
  <c r="I55" i="36"/>
  <c r="E55" i="36"/>
  <c r="H55" i="15"/>
  <c r="I55" i="37"/>
  <c r="E55" i="37"/>
  <c r="H73" i="15"/>
  <c r="I73" i="37"/>
  <c r="E73" i="37"/>
  <c r="D72" i="13"/>
  <c r="H8" i="15"/>
  <c r="I8" i="37"/>
  <c r="D41" i="15"/>
  <c r="H4" i="14"/>
  <c r="I4" i="36"/>
  <c r="D40" i="14"/>
  <c r="H30" i="15"/>
  <c r="I30" i="37"/>
  <c r="D35" i="15"/>
  <c r="F31" i="37"/>
  <c r="F45" i="36"/>
  <c r="H50" i="15"/>
  <c r="I50" i="37"/>
  <c r="H6" i="14"/>
  <c r="I6" i="36"/>
  <c r="D47" i="14"/>
  <c r="H64" i="35"/>
  <c r="H63" i="35"/>
  <c r="G63" i="13"/>
  <c r="D75" i="14"/>
  <c r="H65" i="14"/>
  <c r="I65" i="36"/>
  <c r="E65" i="36"/>
  <c r="H75" i="15"/>
  <c r="I75" i="37"/>
  <c r="E75" i="37"/>
  <c r="H59" i="15"/>
  <c r="I59" i="37"/>
  <c r="E59" i="37"/>
  <c r="H61" i="13"/>
  <c r="I61" i="35"/>
  <c r="E61" i="35"/>
  <c r="H65" i="13"/>
  <c r="I65" i="35"/>
  <c r="E65" i="35"/>
  <c r="D58" i="13"/>
  <c r="H49" i="36"/>
  <c r="H48" i="36"/>
  <c r="G48" i="14"/>
  <c r="H3" i="15"/>
  <c r="I3" i="37"/>
  <c r="D32" i="15"/>
  <c r="H28" i="14"/>
  <c r="I28" i="36"/>
  <c r="D43" i="14"/>
  <c r="H26" i="13"/>
  <c r="I26" i="35"/>
  <c r="D36" i="13"/>
  <c r="H32" i="37"/>
  <c r="H31" i="37"/>
  <c r="G31" i="15"/>
  <c r="E11" i="35"/>
  <c r="H71" i="14"/>
  <c r="I71" i="36"/>
  <c r="E71" i="36"/>
  <c r="D61" i="14"/>
  <c r="H51" i="14"/>
  <c r="I51" i="36"/>
  <c r="E51" i="36"/>
  <c r="H61" i="15"/>
  <c r="I61" i="37"/>
  <c r="E61" i="37"/>
  <c r="E67" i="37"/>
  <c r="H51" i="13"/>
  <c r="I51" i="35"/>
  <c r="E51" i="35"/>
  <c r="H34" i="14"/>
  <c r="I34" i="36"/>
  <c r="E34" i="36"/>
  <c r="H48" i="37"/>
  <c r="F48" i="36"/>
  <c r="H4" i="13"/>
  <c r="I4" i="35"/>
  <c r="D40" i="13"/>
  <c r="H15" i="15"/>
  <c r="I15" i="37"/>
  <c r="D44" i="15"/>
  <c r="H26" i="15"/>
  <c r="I26" i="37"/>
  <c r="D36" i="15"/>
  <c r="H3" i="14"/>
  <c r="I3" i="36"/>
  <c r="D32" i="14"/>
  <c r="H31" i="35"/>
  <c r="H2" i="15"/>
  <c r="I2" i="37"/>
  <c r="D38" i="15"/>
  <c r="H57" i="14"/>
  <c r="I57" i="36"/>
  <c r="E57" i="36"/>
  <c r="H72" i="14"/>
  <c r="I72" i="36"/>
  <c r="E72" i="36"/>
  <c r="H53" i="15"/>
  <c r="I53" i="37"/>
  <c r="E53" i="37"/>
  <c r="H53" i="13"/>
  <c r="I53" i="35"/>
  <c r="E53" i="35"/>
  <c r="H66" i="13"/>
  <c r="I66" i="35"/>
  <c r="E66" i="35"/>
  <c r="H50" i="13"/>
  <c r="I50" i="35"/>
  <c r="E50" i="35"/>
  <c r="D46" i="14"/>
  <c r="H22" i="15"/>
  <c r="I22" i="37"/>
  <c r="D37" i="15"/>
  <c r="H11" i="15"/>
  <c r="I11" i="37"/>
  <c r="D39" i="15"/>
  <c r="H6" i="13"/>
  <c r="I6" i="35"/>
  <c r="D47" i="13"/>
  <c r="H28" i="15"/>
  <c r="I28" i="37"/>
  <c r="D43" i="15"/>
  <c r="F31" i="35"/>
  <c r="H49" i="35"/>
  <c r="H48" i="35"/>
  <c r="G48" i="13"/>
  <c r="H52" i="14"/>
  <c r="I52" i="36"/>
  <c r="E52" i="36"/>
  <c r="H58" i="14"/>
  <c r="I58" i="36"/>
  <c r="E58" i="36"/>
  <c r="H52" i="15"/>
  <c r="I52" i="37"/>
  <c r="E52" i="37"/>
  <c r="H76" i="15"/>
  <c r="I76" i="37"/>
  <c r="E76" i="37"/>
  <c r="H74" i="13"/>
  <c r="I74" i="35"/>
  <c r="E74" i="35"/>
  <c r="H52" i="13"/>
  <c r="I52" i="35"/>
  <c r="E52" i="35"/>
  <c r="H71" i="13"/>
  <c r="I71" i="35"/>
  <c r="E71" i="35"/>
  <c r="H35" i="13"/>
  <c r="I35" i="35"/>
  <c r="E35" i="35"/>
  <c r="H10" i="13"/>
  <c r="I10" i="35"/>
  <c r="D46" i="13"/>
  <c r="H6" i="15"/>
  <c r="I6" i="37"/>
  <c r="D47" i="15"/>
  <c r="H28" i="13"/>
  <c r="I28" i="35"/>
  <c r="D43" i="13"/>
  <c r="F48" i="35"/>
  <c r="H64" i="37"/>
  <c r="H63" i="37"/>
  <c r="G63" i="15"/>
  <c r="D63" i="15"/>
  <c r="H66" i="15"/>
  <c r="I66" i="37"/>
  <c r="H66" i="14"/>
  <c r="I66" i="36"/>
  <c r="H32" i="6"/>
  <c r="H31" i="6"/>
  <c r="D31" i="6"/>
  <c r="H46" i="9"/>
  <c r="H45" i="9"/>
  <c r="D45" i="9"/>
  <c r="H46" i="6"/>
  <c r="H45" i="6"/>
  <c r="D45" i="6"/>
  <c r="H49" i="8"/>
  <c r="H48" i="8"/>
  <c r="D48" i="8"/>
  <c r="D31" i="8"/>
  <c r="H32" i="8"/>
  <c r="H31" i="8"/>
  <c r="H64" i="8"/>
  <c r="H63" i="8"/>
  <c r="D63" i="8"/>
  <c r="H64" i="6"/>
  <c r="H63" i="6"/>
  <c r="D63" i="6"/>
  <c r="H49" i="6"/>
  <c r="H48" i="6"/>
  <c r="D48" i="6"/>
  <c r="H32" i="9"/>
  <c r="H31" i="9"/>
  <c r="H46" i="8"/>
  <c r="H45" i="8"/>
  <c r="D45" i="8"/>
  <c r="H49" i="9"/>
  <c r="H48" i="9"/>
  <c r="D48" i="9"/>
  <c r="D63" i="9"/>
  <c r="H64" i="9"/>
  <c r="H63" i="9"/>
  <c r="H64" i="15"/>
  <c r="H64" i="13"/>
  <c r="H64" i="14"/>
  <c r="I64" i="36"/>
  <c r="E42" i="37"/>
  <c r="H67" i="13"/>
  <c r="I67" i="35"/>
  <c r="H49" i="15"/>
  <c r="E54" i="35"/>
  <c r="E75" i="35"/>
  <c r="D63" i="13"/>
  <c r="D48" i="13"/>
  <c r="D48" i="14"/>
  <c r="H34" i="13"/>
  <c r="I34" i="35"/>
  <c r="H59" i="14"/>
  <c r="I59" i="36"/>
  <c r="D31" i="13"/>
  <c r="D48" i="15"/>
  <c r="E37" i="36"/>
  <c r="H37" i="14"/>
  <c r="I37" i="36"/>
  <c r="E32" i="35"/>
  <c r="H32" i="13"/>
  <c r="I32" i="35"/>
  <c r="E48" i="37"/>
  <c r="H33" i="15"/>
  <c r="I33" i="37"/>
  <c r="E33" i="37"/>
  <c r="H58" i="13"/>
  <c r="I58" i="35"/>
  <c r="E58" i="35"/>
  <c r="H40" i="15"/>
  <c r="I40" i="37"/>
  <c r="E40" i="37"/>
  <c r="H39" i="13"/>
  <c r="I39" i="35"/>
  <c r="E39" i="35"/>
  <c r="H36" i="15"/>
  <c r="I36" i="37"/>
  <c r="E36" i="37"/>
  <c r="H75" i="14"/>
  <c r="I75" i="36"/>
  <c r="I63" i="36"/>
  <c r="E75" i="36"/>
  <c r="E63" i="36"/>
  <c r="H39" i="15"/>
  <c r="I39" i="37"/>
  <c r="E39" i="37"/>
  <c r="H44" i="15"/>
  <c r="I44" i="37"/>
  <c r="E44" i="37"/>
  <c r="H40" i="14"/>
  <c r="I40" i="36"/>
  <c r="E40" i="36"/>
  <c r="H44" i="14"/>
  <c r="I44" i="36"/>
  <c r="E44" i="36"/>
  <c r="H36" i="14"/>
  <c r="I36" i="36"/>
  <c r="E36" i="36"/>
  <c r="E49" i="35"/>
  <c r="H49" i="13"/>
  <c r="H39" i="14"/>
  <c r="I39" i="36"/>
  <c r="E39" i="36"/>
  <c r="H42" i="14"/>
  <c r="I42" i="36"/>
  <c r="E42" i="36"/>
  <c r="I64" i="35"/>
  <c r="H37" i="15"/>
  <c r="I37" i="37"/>
  <c r="E37" i="37"/>
  <c r="H40" i="13"/>
  <c r="I40" i="35"/>
  <c r="E40" i="35"/>
  <c r="H36" i="13"/>
  <c r="I36" i="35"/>
  <c r="E36" i="35"/>
  <c r="H47" i="14"/>
  <c r="I47" i="36"/>
  <c r="E47" i="36"/>
  <c r="H41" i="15"/>
  <c r="I41" i="37"/>
  <c r="E41" i="37"/>
  <c r="H33" i="13"/>
  <c r="E33" i="35"/>
  <c r="H41" i="14"/>
  <c r="I41" i="36"/>
  <c r="E41" i="36"/>
  <c r="H44" i="13"/>
  <c r="I44" i="35"/>
  <c r="E44" i="35"/>
  <c r="E46" i="36"/>
  <c r="H46" i="14"/>
  <c r="D45" i="14"/>
  <c r="H43" i="14"/>
  <c r="I43" i="36"/>
  <c r="E43" i="36"/>
  <c r="H35" i="14"/>
  <c r="I35" i="36"/>
  <c r="E35" i="36"/>
  <c r="H37" i="13"/>
  <c r="I37" i="35"/>
  <c r="E37" i="35"/>
  <c r="H43" i="13"/>
  <c r="I43" i="35"/>
  <c r="E43" i="35"/>
  <c r="H38" i="15"/>
  <c r="I38" i="37"/>
  <c r="E38" i="37"/>
  <c r="E32" i="37"/>
  <c r="H32" i="15"/>
  <c r="H72" i="13"/>
  <c r="I72" i="35"/>
  <c r="E72" i="35"/>
  <c r="E63" i="35"/>
  <c r="H47" i="13"/>
  <c r="I47" i="35"/>
  <c r="E47" i="35"/>
  <c r="H47" i="15"/>
  <c r="E47" i="37"/>
  <c r="E45" i="37"/>
  <c r="H61" i="14"/>
  <c r="E61" i="36"/>
  <c r="E48" i="36"/>
  <c r="H35" i="15"/>
  <c r="I35" i="37"/>
  <c r="E35" i="37"/>
  <c r="D63" i="14"/>
  <c r="H63" i="15"/>
  <c r="I64" i="37"/>
  <c r="I63" i="37"/>
  <c r="D31" i="15"/>
  <c r="H48" i="15"/>
  <c r="I49" i="37"/>
  <c r="I48" i="37"/>
  <c r="H43" i="15"/>
  <c r="I43" i="37"/>
  <c r="E43" i="37"/>
  <c r="E32" i="36"/>
  <c r="H32" i="14"/>
  <c r="D31" i="14"/>
  <c r="E63" i="37"/>
  <c r="H33" i="14"/>
  <c r="I33" i="36"/>
  <c r="E33" i="36"/>
  <c r="E46" i="35"/>
  <c r="D45" i="13"/>
  <c r="H46" i="13"/>
  <c r="E48" i="35"/>
  <c r="I61" i="36"/>
  <c r="I48" i="36"/>
  <c r="H48" i="14"/>
  <c r="H45" i="13"/>
  <c r="I46" i="35"/>
  <c r="I45" i="35"/>
  <c r="E31" i="35"/>
  <c r="I63" i="35"/>
  <c r="I33" i="35"/>
  <c r="I31" i="35"/>
  <c r="H31" i="13"/>
  <c r="H63" i="14"/>
  <c r="H63" i="13"/>
  <c r="E45" i="35"/>
  <c r="E31" i="36"/>
  <c r="I32" i="37"/>
  <c r="I31" i="37"/>
  <c r="H31" i="15"/>
  <c r="E45" i="36"/>
  <c r="H31" i="14"/>
  <c r="I32" i="36"/>
  <c r="I31" i="36"/>
  <c r="I47" i="37"/>
  <c r="I45" i="37"/>
  <c r="H45" i="15"/>
  <c r="E31" i="37"/>
  <c r="H45" i="14"/>
  <c r="I46" i="36"/>
  <c r="I45" i="36"/>
  <c r="I49" i="35"/>
  <c r="I48" i="35"/>
  <c r="H48" i="13"/>
  <c r="D5" i="12"/>
  <c r="D67" i="12"/>
  <c r="E67" i="34"/>
  <c r="D12" i="12"/>
  <c r="D60" i="12"/>
  <c r="E60" i="34"/>
  <c r="D24" i="12"/>
  <c r="D55" i="12"/>
  <c r="E55" i="34"/>
  <c r="D22" i="12"/>
  <c r="E22" i="34"/>
  <c r="E17" i="12"/>
  <c r="F17" i="34"/>
  <c r="E16" i="12"/>
  <c r="F16" i="34"/>
  <c r="D29" i="12"/>
  <c r="D57" i="12"/>
  <c r="E57" i="34"/>
  <c r="D9" i="12"/>
  <c r="D68" i="12"/>
  <c r="E68" i="34"/>
  <c r="D7" i="12"/>
  <c r="D73" i="12"/>
  <c r="E73" i="34"/>
  <c r="D17" i="12"/>
  <c r="E17" i="34"/>
  <c r="D13" i="12"/>
  <c r="D33" i="12"/>
  <c r="E33" i="34"/>
  <c r="E2" i="12"/>
  <c r="E38" i="12"/>
  <c r="F38" i="34"/>
  <c r="D11" i="12"/>
  <c r="E11" i="34"/>
  <c r="D18" i="12"/>
  <c r="D61" i="12"/>
  <c r="E61" i="34"/>
  <c r="E19" i="12"/>
  <c r="E42" i="12"/>
  <c r="F42" i="34"/>
  <c r="E26" i="12"/>
  <c r="E36" i="12"/>
  <c r="F36" i="34"/>
  <c r="E5" i="12"/>
  <c r="F5" i="34"/>
  <c r="D27" i="12"/>
  <c r="D62" i="12"/>
  <c r="E62" i="34"/>
  <c r="E7" i="12"/>
  <c r="E73" i="12"/>
  <c r="F73" i="34"/>
  <c r="E12" i="12"/>
  <c r="F12" i="34"/>
  <c r="E18" i="12"/>
  <c r="D20" i="12"/>
  <c r="E29" i="12"/>
  <c r="E21" i="12"/>
  <c r="D16" i="12"/>
  <c r="D72" i="12"/>
  <c r="E72" i="34"/>
  <c r="E24" i="12"/>
  <c r="E55" i="12"/>
  <c r="F55" i="34"/>
  <c r="E27" i="12"/>
  <c r="E76" i="12"/>
  <c r="F76" i="34"/>
  <c r="E20" i="12"/>
  <c r="E70" i="12"/>
  <c r="F70" i="34"/>
  <c r="E13" i="12"/>
  <c r="F13" i="34"/>
  <c r="D21" i="12"/>
  <c r="D65" i="12"/>
  <c r="E65" i="34"/>
  <c r="E9" i="12"/>
  <c r="E68" i="12"/>
  <c r="F68" i="34"/>
  <c r="E14" i="12"/>
  <c r="E8" i="12"/>
  <c r="E41" i="12"/>
  <c r="F41" i="34"/>
  <c r="E15" i="12"/>
  <c r="E44" i="12"/>
  <c r="F44" i="34"/>
  <c r="E4" i="12"/>
  <c r="D19" i="12"/>
  <c r="E19" i="34"/>
  <c r="D28" i="12"/>
  <c r="D43" i="12"/>
  <c r="E43" i="34"/>
  <c r="E30" i="12"/>
  <c r="F30" i="34"/>
  <c r="E11" i="12"/>
  <c r="D8" i="12"/>
  <c r="E8" i="34"/>
  <c r="D30" i="12"/>
  <c r="D35" i="12"/>
  <c r="E35" i="34"/>
  <c r="D6" i="12"/>
  <c r="D47" i="12"/>
  <c r="E47" i="34"/>
  <c r="E6" i="12"/>
  <c r="D15" i="12"/>
  <c r="D26" i="12"/>
  <c r="D36" i="12"/>
  <c r="E36" i="34"/>
  <c r="E28" i="12"/>
  <c r="E43" i="12"/>
  <c r="F43" i="34"/>
  <c r="D14" i="12"/>
  <c r="E14" i="34"/>
  <c r="E22" i="12"/>
  <c r="F22" i="34"/>
  <c r="E2" i="34"/>
  <c r="D4" i="12"/>
  <c r="D40" i="12"/>
  <c r="E40" i="34"/>
  <c r="D23" i="12"/>
  <c r="E23" i="34"/>
  <c r="C12" i="12"/>
  <c r="E25" i="12"/>
  <c r="F25" i="34"/>
  <c r="D25" i="12"/>
  <c r="D50" i="12"/>
  <c r="E50" i="34"/>
  <c r="C6" i="12"/>
  <c r="C20" i="12"/>
  <c r="C29" i="12"/>
  <c r="C14" i="12"/>
  <c r="C17" i="12"/>
  <c r="G17" i="12"/>
  <c r="H17" i="34"/>
  <c r="C24" i="12"/>
  <c r="C3" i="12"/>
  <c r="C32" i="12"/>
  <c r="D32" i="34"/>
  <c r="C28" i="12"/>
  <c r="G28" i="12"/>
  <c r="H28" i="34"/>
  <c r="C11" i="12"/>
  <c r="G11" i="12"/>
  <c r="H11" i="34"/>
  <c r="C15" i="12"/>
  <c r="G15" i="12"/>
  <c r="H15" i="34"/>
  <c r="C19" i="12"/>
  <c r="C23" i="12"/>
  <c r="C49" i="12"/>
  <c r="D49" i="34"/>
  <c r="E10" i="12"/>
  <c r="F10" i="34"/>
  <c r="C7" i="12"/>
  <c r="C9" i="12"/>
  <c r="H9" i="12"/>
  <c r="I9" i="34"/>
  <c r="D3" i="12"/>
  <c r="E3" i="34"/>
  <c r="E23" i="12"/>
  <c r="F23" i="34"/>
  <c r="C21" i="12"/>
  <c r="H21" i="12"/>
  <c r="I21" i="34"/>
  <c r="C2" i="12"/>
  <c r="H2" i="12"/>
  <c r="I2" i="34"/>
  <c r="C16" i="12"/>
  <c r="H16" i="12"/>
  <c r="I16" i="34"/>
  <c r="C5" i="12"/>
  <c r="H5" i="12"/>
  <c r="I5" i="34"/>
  <c r="C27" i="12"/>
  <c r="G27" i="12"/>
  <c r="H27" i="34"/>
  <c r="D10" i="12"/>
  <c r="E10" i="34"/>
  <c r="C18" i="12"/>
  <c r="H18" i="12"/>
  <c r="I18" i="34"/>
  <c r="C22" i="12"/>
  <c r="G22" i="12"/>
  <c r="H22" i="34"/>
  <c r="C13" i="12"/>
  <c r="G13" i="12"/>
  <c r="H13" i="34"/>
  <c r="C4" i="12"/>
  <c r="E3" i="12"/>
  <c r="F3" i="34"/>
  <c r="C30" i="12"/>
  <c r="G30" i="12"/>
  <c r="H30" i="34"/>
  <c r="C8" i="12"/>
  <c r="C10" i="12"/>
  <c r="D10" i="34"/>
  <c r="C26" i="12"/>
  <c r="C25" i="12"/>
  <c r="H25" i="12"/>
  <c r="I25" i="34"/>
  <c r="H26" i="12"/>
  <c r="I26" i="34"/>
  <c r="G14" i="12"/>
  <c r="H14" i="34"/>
  <c r="G6" i="12"/>
  <c r="H6" i="34"/>
  <c r="D41" i="12"/>
  <c r="E41" i="34"/>
  <c r="G12" i="12"/>
  <c r="H12" i="34"/>
  <c r="H7" i="12"/>
  <c r="I7" i="34"/>
  <c r="E13" i="34"/>
  <c r="G8" i="12"/>
  <c r="H8" i="34"/>
  <c r="E30" i="34"/>
  <c r="E26" i="34"/>
  <c r="E28" i="34"/>
  <c r="G4" i="12"/>
  <c r="H4" i="34"/>
  <c r="E21" i="34"/>
  <c r="D75" i="12"/>
  <c r="E75" i="34"/>
  <c r="E32" i="12"/>
  <c r="F32" i="34"/>
  <c r="D64" i="12"/>
  <c r="E64" i="34"/>
  <c r="D34" i="12"/>
  <c r="E34" i="34"/>
  <c r="D42" i="12"/>
  <c r="E42" i="34"/>
  <c r="F8" i="34"/>
  <c r="E54" i="12"/>
  <c r="F54" i="34"/>
  <c r="E18" i="34"/>
  <c r="F28" i="34"/>
  <c r="F15" i="34"/>
  <c r="F9" i="34"/>
  <c r="E33" i="12"/>
  <c r="F33" i="34"/>
  <c r="F27" i="34"/>
  <c r="D58" i="12"/>
  <c r="E58" i="34"/>
  <c r="F19" i="34"/>
  <c r="G19" i="12"/>
  <c r="H19" i="34"/>
  <c r="H11" i="12"/>
  <c r="I11" i="34"/>
  <c r="C64" i="12"/>
  <c r="C46" i="12"/>
  <c r="D46" i="34"/>
  <c r="G24" i="12"/>
  <c r="H24" i="34"/>
  <c r="E6" i="34"/>
  <c r="E35" i="12"/>
  <c r="F35" i="34"/>
  <c r="D51" i="12"/>
  <c r="E51" i="34"/>
  <c r="E56" i="12"/>
  <c r="F56" i="34"/>
  <c r="F24" i="34"/>
  <c r="D39" i="12"/>
  <c r="E39" i="34"/>
  <c r="C45" i="12"/>
  <c r="D22" i="34"/>
  <c r="C37" i="12"/>
  <c r="D37" i="34"/>
  <c r="H22" i="12"/>
  <c r="I22" i="34"/>
  <c r="D18" i="34"/>
  <c r="C61" i="12"/>
  <c r="D61" i="34"/>
  <c r="C75" i="12"/>
  <c r="D75" i="34"/>
  <c r="H10" i="12"/>
  <c r="I10" i="34"/>
  <c r="D2" i="34"/>
  <c r="C38" i="12"/>
  <c r="D38" i="34"/>
  <c r="G2" i="12"/>
  <c r="H2" i="34"/>
  <c r="G21" i="12"/>
  <c r="H21" i="34"/>
  <c r="C65" i="12"/>
  <c r="D65" i="34"/>
  <c r="C51" i="12"/>
  <c r="D51" i="34"/>
  <c r="D21" i="34"/>
  <c r="C42" i="12"/>
  <c r="D42" i="34"/>
  <c r="D19" i="34"/>
  <c r="C41" i="12"/>
  <c r="D41" i="34"/>
  <c r="D8" i="34"/>
  <c r="C36" i="12"/>
  <c r="D36" i="34"/>
  <c r="D26" i="34"/>
  <c r="G26" i="12"/>
  <c r="H26" i="34"/>
  <c r="D25" i="34"/>
  <c r="G25" i="12"/>
  <c r="H25" i="34"/>
  <c r="C50" i="12"/>
  <c r="D50" i="34"/>
  <c r="C52" i="12"/>
  <c r="D52" i="34"/>
  <c r="C53" i="12"/>
  <c r="D53" i="34"/>
  <c r="C54" i="12"/>
  <c r="D54" i="34"/>
  <c r="C55" i="12"/>
  <c r="D55" i="34"/>
  <c r="C56" i="12"/>
  <c r="D56" i="34"/>
  <c r="C57" i="12"/>
  <c r="D57" i="34"/>
  <c r="C58" i="12"/>
  <c r="D58" i="34"/>
  <c r="C59" i="12"/>
  <c r="D59" i="34"/>
  <c r="C60" i="12"/>
  <c r="D60" i="34"/>
  <c r="C62" i="12"/>
  <c r="D62" i="34"/>
  <c r="D48" i="34"/>
  <c r="C35" i="12"/>
  <c r="D35" i="34"/>
  <c r="D30" i="34"/>
  <c r="H30" i="12"/>
  <c r="I30" i="34"/>
  <c r="D13" i="34"/>
  <c r="C33" i="12"/>
  <c r="D33" i="34"/>
  <c r="C34" i="12"/>
  <c r="D34" i="34"/>
  <c r="C39" i="12"/>
  <c r="D39" i="34"/>
  <c r="C40" i="12"/>
  <c r="D40" i="34"/>
  <c r="C43" i="12"/>
  <c r="D43" i="34"/>
  <c r="C44" i="12"/>
  <c r="D44" i="34"/>
  <c r="D31" i="34"/>
  <c r="H8" i="12"/>
  <c r="I8" i="34"/>
  <c r="D4" i="34"/>
  <c r="H4" i="12"/>
  <c r="I4" i="34"/>
  <c r="D46" i="12"/>
  <c r="D27" i="34"/>
  <c r="C76" i="12"/>
  <c r="D76" i="34"/>
  <c r="H27" i="12"/>
  <c r="I27" i="34"/>
  <c r="D5" i="34"/>
  <c r="C67" i="12"/>
  <c r="D67" i="34"/>
  <c r="G5" i="12"/>
  <c r="H5" i="34"/>
  <c r="C72" i="12"/>
  <c r="D72" i="34"/>
  <c r="D16" i="34"/>
  <c r="G16" i="12"/>
  <c r="H16" i="34"/>
  <c r="E46" i="12"/>
  <c r="H23" i="12"/>
  <c r="I23" i="34"/>
  <c r="G18" i="12"/>
  <c r="H18" i="34"/>
  <c r="D28" i="34"/>
  <c r="H28" i="12"/>
  <c r="I28" i="34"/>
  <c r="H19" i="12"/>
  <c r="I19" i="34"/>
  <c r="E49" i="12"/>
  <c r="F49" i="34"/>
  <c r="D32" i="12"/>
  <c r="E32" i="34"/>
  <c r="C73" i="12"/>
  <c r="D73" i="34"/>
  <c r="D7" i="34"/>
  <c r="G7" i="12"/>
  <c r="H7" i="34"/>
  <c r="D3" i="34"/>
  <c r="G3" i="12"/>
  <c r="H3" i="34"/>
  <c r="H3" i="12"/>
  <c r="I3" i="34"/>
  <c r="D9" i="34"/>
  <c r="C68" i="12"/>
  <c r="D68" i="34"/>
  <c r="G9" i="12"/>
  <c r="H9" i="34"/>
  <c r="H13" i="12"/>
  <c r="I13" i="34"/>
  <c r="G23" i="12"/>
  <c r="H23" i="34"/>
  <c r="D23" i="34"/>
  <c r="G10" i="12"/>
  <c r="H10" i="34"/>
  <c r="D15" i="34"/>
  <c r="H15" i="12"/>
  <c r="I15" i="34"/>
  <c r="C71" i="12"/>
  <c r="D71" i="34"/>
  <c r="G29" i="12"/>
  <c r="H29" i="34"/>
  <c r="D29" i="34"/>
  <c r="C70" i="12"/>
  <c r="D70" i="34"/>
  <c r="D20" i="34"/>
  <c r="G20" i="12"/>
  <c r="H20" i="34"/>
  <c r="D17" i="34"/>
  <c r="C66" i="12"/>
  <c r="D66" i="34"/>
  <c r="H17" i="12"/>
  <c r="I17" i="34"/>
  <c r="D11" i="34"/>
  <c r="C69" i="12"/>
  <c r="D69" i="34"/>
  <c r="D24" i="34"/>
  <c r="H24" i="12"/>
  <c r="I24" i="34"/>
  <c r="D6" i="34"/>
  <c r="C47" i="12"/>
  <c r="D47" i="34"/>
  <c r="H6" i="12"/>
  <c r="I6" i="34"/>
  <c r="H14" i="12"/>
  <c r="I14" i="34"/>
  <c r="D14" i="34"/>
  <c r="H29" i="12"/>
  <c r="I29" i="34"/>
  <c r="H20" i="12"/>
  <c r="I20" i="34"/>
  <c r="C74" i="12"/>
  <c r="D74" i="34"/>
  <c r="D12" i="34"/>
  <c r="H12" i="12"/>
  <c r="I12" i="34"/>
  <c r="D49" i="12"/>
  <c r="E49" i="34"/>
  <c r="E4" i="34"/>
  <c r="D38" i="12"/>
  <c r="E38" i="34"/>
  <c r="E50" i="12"/>
  <c r="F50" i="34"/>
  <c r="E71" i="12"/>
  <c r="F71" i="34"/>
  <c r="E57" i="12"/>
  <c r="F57" i="34"/>
  <c r="F29" i="34"/>
  <c r="D44" i="12"/>
  <c r="E44" i="34"/>
  <c r="E15" i="34"/>
  <c r="F4" i="34"/>
  <c r="E40" i="12"/>
  <c r="F40" i="34"/>
  <c r="D70" i="12"/>
  <c r="E70" i="34"/>
  <c r="E20" i="34"/>
  <c r="D56" i="12"/>
  <c r="E56" i="34"/>
  <c r="E64" i="12"/>
  <c r="F64" i="34"/>
  <c r="E25" i="34"/>
  <c r="E37" i="12"/>
  <c r="F37" i="34"/>
  <c r="E39" i="12"/>
  <c r="F39" i="34"/>
  <c r="F11" i="34"/>
  <c r="F18" i="34"/>
  <c r="E75" i="12"/>
  <c r="F75" i="34"/>
  <c r="E61" i="12"/>
  <c r="F61" i="34"/>
  <c r="E47" i="12"/>
  <c r="F47" i="34"/>
  <c r="F6" i="34"/>
  <c r="F14" i="34"/>
  <c r="E34" i="12"/>
  <c r="F34" i="34"/>
  <c r="F21" i="34"/>
  <c r="E51" i="12"/>
  <c r="F51" i="34"/>
  <c r="E65" i="12"/>
  <c r="F65" i="34"/>
  <c r="E12" i="34"/>
  <c r="E24" i="34"/>
  <c r="E60" i="12"/>
  <c r="F60" i="34"/>
  <c r="F7" i="34"/>
  <c r="D76" i="12"/>
  <c r="E76" i="34"/>
  <c r="E67" i="12"/>
  <c r="F67" i="34"/>
  <c r="F26" i="34"/>
  <c r="F2" i="34"/>
  <c r="D52" i="12"/>
  <c r="E52" i="34"/>
  <c r="D59" i="12"/>
  <c r="E59" i="34"/>
  <c r="E9" i="34"/>
  <c r="D71" i="12"/>
  <c r="E71" i="34"/>
  <c r="E58" i="12"/>
  <c r="F58" i="34"/>
  <c r="E66" i="12"/>
  <c r="F66" i="34"/>
  <c r="D37" i="12"/>
  <c r="E37" i="34"/>
  <c r="D53" i="12"/>
  <c r="E53" i="34"/>
  <c r="D69" i="12"/>
  <c r="E69" i="34"/>
  <c r="F20" i="34"/>
  <c r="E62" i="12"/>
  <c r="F62" i="34"/>
  <c r="E69" i="12"/>
  <c r="F69" i="34"/>
  <c r="E16" i="34"/>
  <c r="E74" i="12"/>
  <c r="F74" i="34"/>
  <c r="E59" i="12"/>
  <c r="F59" i="34"/>
  <c r="E27" i="34"/>
  <c r="E53" i="12"/>
  <c r="F53" i="34"/>
  <c r="D66" i="12"/>
  <c r="E7" i="34"/>
  <c r="D54" i="12"/>
  <c r="E54" i="34"/>
  <c r="E29" i="34"/>
  <c r="E72" i="12"/>
  <c r="F72" i="34"/>
  <c r="E52" i="12"/>
  <c r="F52" i="34"/>
  <c r="D74" i="12"/>
  <c r="E74" i="34"/>
  <c r="E5" i="34"/>
  <c r="G32" i="12"/>
  <c r="H32" i="34"/>
  <c r="D45" i="12"/>
  <c r="E46" i="34"/>
  <c r="E45" i="34"/>
  <c r="F63" i="34"/>
  <c r="E31" i="34"/>
  <c r="H64" i="12"/>
  <c r="I64" i="34"/>
  <c r="D64" i="34"/>
  <c r="D63" i="34"/>
  <c r="F48" i="34"/>
  <c r="E48" i="34"/>
  <c r="F31" i="34"/>
  <c r="D63" i="12"/>
  <c r="E66" i="34"/>
  <c r="E63" i="34"/>
  <c r="E45" i="12"/>
  <c r="F46" i="34"/>
  <c r="F45" i="34"/>
  <c r="D45" i="34"/>
  <c r="G64" i="12"/>
  <c r="H64" i="34"/>
  <c r="E48" i="12"/>
  <c r="G62" i="12"/>
  <c r="H62" i="34"/>
  <c r="H62" i="12"/>
  <c r="I62" i="34"/>
  <c r="H51" i="12"/>
  <c r="I51" i="34"/>
  <c r="G51" i="12"/>
  <c r="H51" i="34"/>
  <c r="E63" i="12"/>
  <c r="D48" i="12"/>
  <c r="G69" i="12"/>
  <c r="H69" i="34"/>
  <c r="H69" i="12"/>
  <c r="I69" i="34"/>
  <c r="H66" i="12"/>
  <c r="I66" i="34"/>
  <c r="G66" i="12"/>
  <c r="H66" i="34"/>
  <c r="C63" i="12"/>
  <c r="G68" i="12"/>
  <c r="H68" i="34"/>
  <c r="H68" i="12"/>
  <c r="I68" i="34"/>
  <c r="H73" i="12"/>
  <c r="I73" i="34"/>
  <c r="G73" i="12"/>
  <c r="H73" i="34"/>
  <c r="D31" i="12"/>
  <c r="H43" i="12"/>
  <c r="I43" i="34"/>
  <c r="G43" i="12"/>
  <c r="H43" i="34"/>
  <c r="H46" i="12"/>
  <c r="I46" i="34"/>
  <c r="G65" i="12"/>
  <c r="H65" i="34"/>
  <c r="H65" i="12"/>
  <c r="I65" i="34"/>
  <c r="H61" i="12"/>
  <c r="I61" i="34"/>
  <c r="G61" i="12"/>
  <c r="H61" i="34"/>
  <c r="H32" i="12"/>
  <c r="I32" i="34"/>
  <c r="H49" i="12"/>
  <c r="I49" i="34"/>
  <c r="G47" i="12"/>
  <c r="H47" i="34"/>
  <c r="H47" i="12"/>
  <c r="I47" i="34"/>
  <c r="H71" i="12"/>
  <c r="I71" i="34"/>
  <c r="G71" i="12"/>
  <c r="H71" i="34"/>
  <c r="G59" i="12"/>
  <c r="H59" i="34"/>
  <c r="H59" i="12"/>
  <c r="I59" i="34"/>
  <c r="G40" i="12"/>
  <c r="H40" i="34"/>
  <c r="H40" i="12"/>
  <c r="I40" i="34"/>
  <c r="H36" i="12"/>
  <c r="I36" i="34"/>
  <c r="G36" i="12"/>
  <c r="H36" i="34"/>
  <c r="G75" i="12"/>
  <c r="H75" i="34"/>
  <c r="H75" i="12"/>
  <c r="I75" i="34"/>
  <c r="G37" i="12"/>
  <c r="H37" i="34"/>
  <c r="H37" i="12"/>
  <c r="I37" i="34"/>
  <c r="E31" i="12"/>
  <c r="H60" i="12"/>
  <c r="I60" i="34"/>
  <c r="G60" i="12"/>
  <c r="H60" i="34"/>
  <c r="H74" i="12"/>
  <c r="I74" i="34"/>
  <c r="G74" i="12"/>
  <c r="H74" i="34"/>
  <c r="G55" i="12"/>
  <c r="H55" i="34"/>
  <c r="H55" i="12"/>
  <c r="I55" i="34"/>
  <c r="H54" i="12"/>
  <c r="I54" i="34"/>
  <c r="G54" i="12"/>
  <c r="H54" i="34"/>
  <c r="H53" i="12"/>
  <c r="I53" i="34"/>
  <c r="G53" i="12"/>
  <c r="H53" i="34"/>
  <c r="H76" i="12"/>
  <c r="I76" i="34"/>
  <c r="G76" i="12"/>
  <c r="H76" i="34"/>
  <c r="G33" i="12"/>
  <c r="H33" i="34"/>
  <c r="H33" i="12"/>
  <c r="I33" i="34"/>
  <c r="G35" i="12"/>
  <c r="H35" i="34"/>
  <c r="H35" i="12"/>
  <c r="I35" i="34"/>
  <c r="H41" i="12"/>
  <c r="I41" i="34"/>
  <c r="G41" i="12"/>
  <c r="H41" i="34"/>
  <c r="G38" i="12"/>
  <c r="H38" i="34"/>
  <c r="H38" i="12"/>
  <c r="I38" i="34"/>
  <c r="G46" i="12"/>
  <c r="H46" i="34"/>
  <c r="H45" i="34"/>
  <c r="G49" i="12"/>
  <c r="H49" i="34"/>
  <c r="H39" i="12"/>
  <c r="I39" i="34"/>
  <c r="G39" i="12"/>
  <c r="H39" i="34"/>
  <c r="H52" i="12"/>
  <c r="I52" i="34"/>
  <c r="G52" i="12"/>
  <c r="H52" i="34"/>
  <c r="G56" i="12"/>
  <c r="H56" i="34"/>
  <c r="H56" i="12"/>
  <c r="I56" i="34"/>
  <c r="H72" i="12"/>
  <c r="I72" i="34"/>
  <c r="G72" i="12"/>
  <c r="H72" i="34"/>
  <c r="H42" i="12"/>
  <c r="I42" i="34"/>
  <c r="G42" i="12"/>
  <c r="H42" i="34"/>
  <c r="H34" i="12"/>
  <c r="I34" i="34"/>
  <c r="G34" i="12"/>
  <c r="H34" i="34"/>
  <c r="H70" i="12"/>
  <c r="I70" i="34"/>
  <c r="G70" i="12"/>
  <c r="H70" i="34"/>
  <c r="H57" i="12"/>
  <c r="I57" i="34"/>
  <c r="G57" i="12"/>
  <c r="H57" i="34"/>
  <c r="H44" i="12"/>
  <c r="I44" i="34"/>
  <c r="G44" i="12"/>
  <c r="H44" i="34"/>
  <c r="G58" i="12"/>
  <c r="H58" i="34"/>
  <c r="H58" i="12"/>
  <c r="I58" i="34"/>
  <c r="H67" i="12"/>
  <c r="I67" i="34"/>
  <c r="G67" i="12"/>
  <c r="H67" i="34"/>
  <c r="H50" i="12"/>
  <c r="I50" i="34"/>
  <c r="G50" i="12"/>
  <c r="H50" i="34"/>
  <c r="C31" i="12"/>
  <c r="C48" i="12"/>
  <c r="H31" i="34"/>
  <c r="I48" i="34"/>
  <c r="I31" i="34"/>
  <c r="H63" i="34"/>
  <c r="I63" i="34"/>
  <c r="H48" i="34"/>
  <c r="I45" i="34"/>
  <c r="G45" i="12"/>
  <c r="G31" i="12"/>
  <c r="G63" i="12"/>
  <c r="H45" i="12"/>
  <c r="H48" i="12"/>
  <c r="H63" i="12"/>
  <c r="G48" i="12"/>
  <c r="H31" i="12"/>
</calcChain>
</file>

<file path=xl/sharedStrings.xml><?xml version="1.0" encoding="utf-8"?>
<sst xmlns="http://schemas.openxmlformats.org/spreadsheetml/2006/main" count="2147" uniqueCount="475">
  <si>
    <t>Volatile</t>
  </si>
  <si>
    <t>YHALFLIFE</t>
  </si>
  <si>
    <t>LAMBDA</t>
  </si>
  <si>
    <t>MASS</t>
  </si>
  <si>
    <t>DHALFLIFE</t>
  </si>
  <si>
    <t>Ac-225</t>
  </si>
  <si>
    <t>SE</t>
  </si>
  <si>
    <t>Am-241</t>
  </si>
  <si>
    <t>Y</t>
  </si>
  <si>
    <t>At-217</t>
  </si>
  <si>
    <t>At-218</t>
  </si>
  <si>
    <t>Ba-137m</t>
  </si>
  <si>
    <t>Bi-210</t>
  </si>
  <si>
    <t>Bi-213</t>
  </si>
  <si>
    <t>Bi-214</t>
  </si>
  <si>
    <t>Cs-137</t>
  </si>
  <si>
    <t>Fr-221</t>
  </si>
  <si>
    <t>Hg-206</t>
  </si>
  <si>
    <t>Np-237</t>
  </si>
  <si>
    <t>Pa-233</t>
  </si>
  <si>
    <t>Pb-209</t>
  </si>
  <si>
    <t>Pb-210</t>
  </si>
  <si>
    <t>Pb-214</t>
  </si>
  <si>
    <t>Po-210</t>
  </si>
  <si>
    <t>Po-213</t>
  </si>
  <si>
    <t>Po-214</t>
  </si>
  <si>
    <t>Po-218</t>
  </si>
  <si>
    <t>Ra-225</t>
  </si>
  <si>
    <t>Ra-226</t>
  </si>
  <si>
    <t>Rn-218</t>
  </si>
  <si>
    <t>Rn-222</t>
  </si>
  <si>
    <t>Th-229</t>
  </si>
  <si>
    <t>Tl-206</t>
  </si>
  <si>
    <t>Tl-209</t>
  </si>
  <si>
    <t>Tl-210</t>
  </si>
  <si>
    <t>U-233</t>
  </si>
  <si>
    <t>General</t>
  </si>
  <si>
    <t>Resident</t>
  </si>
  <si>
    <t>Composite Work</t>
  </si>
  <si>
    <t>Outdoor Work</t>
  </si>
  <si>
    <t>Indoor Work</t>
  </si>
  <si>
    <t>d_ED res-c</t>
  </si>
  <si>
    <t>years</t>
  </si>
  <si>
    <t>d_HR  w</t>
  </si>
  <si>
    <t>m^3/hour</t>
  </si>
  <si>
    <t>d_HR ow</t>
  </si>
  <si>
    <t>d_HR iw</t>
  </si>
  <si>
    <t>d_k</t>
  </si>
  <si>
    <t>d_ED res-a</t>
  </si>
  <si>
    <t>d_ED w</t>
  </si>
  <si>
    <t>d_ED ow</t>
  </si>
  <si>
    <t>d_ED iw</t>
  </si>
  <si>
    <t>d_ED res</t>
  </si>
  <si>
    <t>d_EF w</t>
  </si>
  <si>
    <t>day/year</t>
  </si>
  <si>
    <t>d_EF ow</t>
  </si>
  <si>
    <t>d_EF iw</t>
  </si>
  <si>
    <t>d_Fam</t>
  </si>
  <si>
    <t>d_EF res-c</t>
  </si>
  <si>
    <t>days/year</t>
  </si>
  <si>
    <t>d_ET w</t>
  </si>
  <si>
    <t>hours/day</t>
  </si>
  <si>
    <t>d_ET ow</t>
  </si>
  <si>
    <t>d_ET iw</t>
  </si>
  <si>
    <t>d_Foffset</t>
  </si>
  <si>
    <t>d_EF res-a</t>
  </si>
  <si>
    <t>d_IRA w</t>
  </si>
  <si>
    <t>d_IRA ow</t>
  </si>
  <si>
    <t>d_IRA iw</t>
  </si>
  <si>
    <t>d_FTSS h</t>
  </si>
  <si>
    <t>d_EF res</t>
  </si>
  <si>
    <t>d_SA w</t>
  </si>
  <si>
    <t>cm^2</t>
  </si>
  <si>
    <t>d_SA ow</t>
  </si>
  <si>
    <t>d_SA iw</t>
  </si>
  <si>
    <t>d_SE</t>
  </si>
  <si>
    <t>d_FQ res-a</t>
  </si>
  <si>
    <t>event/hour</t>
  </si>
  <si>
    <t>d_FQ w</t>
  </si>
  <si>
    <t>d_FQ ow</t>
  </si>
  <si>
    <t>d_FQ iw</t>
  </si>
  <si>
    <t>d_GSF s</t>
  </si>
  <si>
    <t>d_FQ res-c</t>
  </si>
  <si>
    <t>t com</t>
  </si>
  <si>
    <t>t out</t>
  </si>
  <si>
    <t>t ind</t>
  </si>
  <si>
    <t>d_GSF i</t>
  </si>
  <si>
    <t>d_IRA res-c</t>
  </si>
  <si>
    <t>m3/day</t>
  </si>
  <si>
    <t>d_SLF</t>
  </si>
  <si>
    <t>d_IRA res-a</t>
  </si>
  <si>
    <t>d_ET res-a,h</t>
  </si>
  <si>
    <t>hour/day</t>
  </si>
  <si>
    <t>d_ET res-c,h</t>
  </si>
  <si>
    <t>d_ET res-o</t>
  </si>
  <si>
    <t>d_ET res-i</t>
  </si>
  <si>
    <t>d_SA res-a</t>
  </si>
  <si>
    <t>d_SA res-c</t>
  </si>
  <si>
    <t>t res</t>
  </si>
  <si>
    <t>d_IFDres-adj</t>
  </si>
  <si>
    <t>d_IFAres-adj</t>
  </si>
  <si>
    <t>PEF</t>
  </si>
  <si>
    <t>PEFm-paved public default</t>
  </si>
  <si>
    <t>PEFm-paved public state</t>
  </si>
  <si>
    <t>PEFm-paved public site</t>
  </si>
  <si>
    <t>PEFm-unpaved public</t>
  </si>
  <si>
    <t>PEFm-unpaved industrial</t>
  </si>
  <si>
    <t>d_PEF</t>
  </si>
  <si>
    <t>d_PEFm-pp</t>
  </si>
  <si>
    <t>s_PEFm-pp-state</t>
  </si>
  <si>
    <t>s_PEFm-pp</t>
  </si>
  <si>
    <t>s_PEFm-up</t>
  </si>
  <si>
    <t>s_PEFm-ui</t>
  </si>
  <si>
    <t>d_Q/Cw</t>
  </si>
  <si>
    <t>d_Q/Cm</t>
  </si>
  <si>
    <t>s_Q/Cm</t>
  </si>
  <si>
    <t>s_VKTm-pp</t>
  </si>
  <si>
    <t>ss_T</t>
  </si>
  <si>
    <t>s_k-ui</t>
  </si>
  <si>
    <t>d_Vw</t>
  </si>
  <si>
    <t>d_V</t>
  </si>
  <si>
    <t>s_A</t>
  </si>
  <si>
    <t>number cars</t>
  </si>
  <si>
    <t>s_silt</t>
  </si>
  <si>
    <t>d_Umw</t>
  </si>
  <si>
    <t>m/s</t>
  </si>
  <si>
    <t>d_Um</t>
  </si>
  <si>
    <t>s_As</t>
  </si>
  <si>
    <t>tons/car</t>
  </si>
  <si>
    <t>s_M_moisture</t>
  </si>
  <si>
    <t>d_Utw</t>
  </si>
  <si>
    <t>d_Ut</t>
  </si>
  <si>
    <t>s_B</t>
  </si>
  <si>
    <t>number trucks</t>
  </si>
  <si>
    <t>s_S_speed</t>
  </si>
  <si>
    <t>mph</t>
  </si>
  <si>
    <t>d_F(x)w</t>
  </si>
  <si>
    <t>d_F(x)</t>
  </si>
  <si>
    <t>s_C</t>
  </si>
  <si>
    <t>tons/truck</t>
  </si>
  <si>
    <t>s_k-up</t>
  </si>
  <si>
    <t>d_Aw</t>
  </si>
  <si>
    <t>d_A</t>
  </si>
  <si>
    <t>total vehic</t>
  </si>
  <si>
    <t>s_VKT-up</t>
  </si>
  <si>
    <t>d_Asw</t>
  </si>
  <si>
    <t>d_As</t>
  </si>
  <si>
    <t>km/trip</t>
  </si>
  <si>
    <t>C_wear</t>
  </si>
  <si>
    <t>brake wear</t>
  </si>
  <si>
    <t>d_Bw</t>
  </si>
  <si>
    <t>d_B</t>
  </si>
  <si>
    <t>s_AR</t>
  </si>
  <si>
    <t>trip/day</t>
  </si>
  <si>
    <t>ss_ED</t>
  </si>
  <si>
    <t>d_Cw</t>
  </si>
  <si>
    <t>d_C</t>
  </si>
  <si>
    <t>s_LR</t>
  </si>
  <si>
    <t>wk/yr</t>
  </si>
  <si>
    <t>a-p</t>
  </si>
  <si>
    <t>s/hour</t>
  </si>
  <si>
    <t>s_WR</t>
  </si>
  <si>
    <t>day/wk</t>
  </si>
  <si>
    <t>c-p</t>
  </si>
  <si>
    <t>s_T</t>
  </si>
  <si>
    <t>LS</t>
  </si>
  <si>
    <t>s_PEF</t>
  </si>
  <si>
    <t>d_AR</t>
  </si>
  <si>
    <t>s_sL</t>
  </si>
  <si>
    <t>s_Q/Cw</t>
  </si>
  <si>
    <t>d_LR</t>
  </si>
  <si>
    <t>s_W</t>
  </si>
  <si>
    <t>s_Vw</t>
  </si>
  <si>
    <t>d_WR</t>
  </si>
  <si>
    <t>s_k-pp</t>
  </si>
  <si>
    <t>s_Umw</t>
  </si>
  <si>
    <t>d_T</t>
  </si>
  <si>
    <t>s_p</t>
  </si>
  <si>
    <t>s_Utw</t>
  </si>
  <si>
    <t>d_sL</t>
  </si>
  <si>
    <t>s_VKTm-st</t>
  </si>
  <si>
    <t>s_F(x)w</t>
  </si>
  <si>
    <t>d_W</t>
  </si>
  <si>
    <t>s_LS</t>
  </si>
  <si>
    <t>s_Aw</t>
  </si>
  <si>
    <t>d_k-pp</t>
  </si>
  <si>
    <t>s_AVK: TN rural interstate</t>
  </si>
  <si>
    <t>s_Asw</t>
  </si>
  <si>
    <t>d_p</t>
  </si>
  <si>
    <t>s_Km:TN rural interstate</t>
  </si>
  <si>
    <t>s_Bw</t>
  </si>
  <si>
    <t>d_VKT</t>
  </si>
  <si>
    <t>s_ED</t>
  </si>
  <si>
    <t>s_Cw</t>
  </si>
  <si>
    <t>d_LS</t>
  </si>
  <si>
    <t>d_AVK: CA urban interstate</t>
  </si>
  <si>
    <t>d_Km: CA urban interstate</t>
  </si>
  <si>
    <t>d_ED</t>
  </si>
  <si>
    <t>res_dust_ing</t>
  </si>
  <si>
    <t>res_dust_inh_w</t>
  </si>
  <si>
    <t>res_dust_inh_m</t>
  </si>
  <si>
    <t>res_dust_ext</t>
  </si>
  <si>
    <t>res_3D_sv</t>
  </si>
  <si>
    <t>res_3D_gp</t>
  </si>
  <si>
    <t>res_3D_1cm</t>
  </si>
  <si>
    <t>res_3D_5cm</t>
  </si>
  <si>
    <t>res_3D_15cm</t>
  </si>
  <si>
    <t>res_2D_sv</t>
  </si>
  <si>
    <t>res_2D_gp</t>
  </si>
  <si>
    <t>res_2D_1cm</t>
  </si>
  <si>
    <t>res_2D_5cm</t>
  </si>
  <si>
    <t>res_2D_15cm</t>
  </si>
  <si>
    <t>D_FSURF</t>
  </si>
  <si>
    <t>res_dust_wtot</t>
  </si>
  <si>
    <t>res_dust_mtot</t>
  </si>
  <si>
    <t>ind_dust_ing</t>
  </si>
  <si>
    <t>ind_dust_inh_m</t>
  </si>
  <si>
    <t>ind_dust_inh_w</t>
  </si>
  <si>
    <t>ind_dust_ext</t>
  </si>
  <si>
    <t>ind_dust_mtot</t>
  </si>
  <si>
    <t>ind_dust_wtot</t>
  </si>
  <si>
    <t>ind_3D_sv</t>
  </si>
  <si>
    <t>ind_3D_1cm</t>
  </si>
  <si>
    <t>ind_3D_5cm</t>
  </si>
  <si>
    <t>ind_3D_15cm</t>
  </si>
  <si>
    <t>ind_3D_gp</t>
  </si>
  <si>
    <t>ind_2D_sv</t>
  </si>
  <si>
    <t>ind_2D_1cm</t>
  </si>
  <si>
    <t>ind_2D_5cm</t>
  </si>
  <si>
    <t>ind_2D_15cm</t>
  </si>
  <si>
    <t>ind_2D_gp</t>
  </si>
  <si>
    <t>d_IFD iw</t>
  </si>
  <si>
    <t>out_dust_ing</t>
  </si>
  <si>
    <t>out_dust_inh_m</t>
  </si>
  <si>
    <t>out_dust_inh_w</t>
  </si>
  <si>
    <t>out_dust_ext</t>
  </si>
  <si>
    <t>out_dust_mtot</t>
  </si>
  <si>
    <t>out_dust_wtot</t>
  </si>
  <si>
    <t>out_3D_sv</t>
  </si>
  <si>
    <t>out_3D_1cm</t>
  </si>
  <si>
    <t>out_3D_5cm</t>
  </si>
  <si>
    <t>out_3D_15cm</t>
  </si>
  <si>
    <t>out_3D_gp</t>
  </si>
  <si>
    <t>out_2D_sv</t>
  </si>
  <si>
    <t>out_2D_1cm</t>
  </si>
  <si>
    <t>out_2D_5cm</t>
  </si>
  <si>
    <t>out_2D_15cm</t>
  </si>
  <si>
    <t>out_2D_gp</t>
  </si>
  <si>
    <t>d_IFD ow</t>
  </si>
  <si>
    <t>d_IFD w</t>
  </si>
  <si>
    <t>com_dust_ing</t>
  </si>
  <si>
    <t>com_dust_inh_m</t>
  </si>
  <si>
    <t>com_dust_inh_w</t>
  </si>
  <si>
    <t>com_dust_ext</t>
  </si>
  <si>
    <t>com_dust_mtot</t>
  </si>
  <si>
    <t>com_dust_wtot</t>
  </si>
  <si>
    <t>com_3D_sv</t>
  </si>
  <si>
    <t>com_3D_1cm</t>
  </si>
  <si>
    <t>com_3D_5cm</t>
  </si>
  <si>
    <t>com_3D_15cm</t>
  </si>
  <si>
    <t>com_3D_gp</t>
  </si>
  <si>
    <t>com_2D_sv</t>
  </si>
  <si>
    <t>com_2D_1cm</t>
  </si>
  <si>
    <t>com_2D_5cm</t>
  </si>
  <si>
    <t>com_2D_15cm</t>
  </si>
  <si>
    <t>com_2D_gp</t>
  </si>
  <si>
    <t>S_ACFGP</t>
  </si>
  <si>
    <t>S_ACFSV</t>
  </si>
  <si>
    <t>S_ACFSV1</t>
  </si>
  <si>
    <t>S_ACFSV5</t>
  </si>
  <si>
    <t>S_ACFSV15</t>
  </si>
  <si>
    <t>S_SURF</t>
  </si>
  <si>
    <t>a-i</t>
  </si>
  <si>
    <t>b-i</t>
  </si>
  <si>
    <t>st_ED res-c</t>
  </si>
  <si>
    <t>st_HR  w</t>
  </si>
  <si>
    <t>st_HR iw</t>
  </si>
  <si>
    <t>st_k</t>
  </si>
  <si>
    <t>st_ED res-a</t>
  </si>
  <si>
    <t>st_ED res</t>
  </si>
  <si>
    <t>st_EF w</t>
  </si>
  <si>
    <t>st_EF iw</t>
  </si>
  <si>
    <t>st_Fam</t>
  </si>
  <si>
    <t>st_EF res-c</t>
  </si>
  <si>
    <t>st_ET w</t>
  </si>
  <si>
    <t>st_ET iw</t>
  </si>
  <si>
    <t>st_Foffset</t>
  </si>
  <si>
    <t>st_EF res-a</t>
  </si>
  <si>
    <t>st_IRA w</t>
  </si>
  <si>
    <t>st_IRA iw</t>
  </si>
  <si>
    <t>st_FTSS h</t>
  </si>
  <si>
    <t>st_EF res</t>
  </si>
  <si>
    <t>st_SA w</t>
  </si>
  <si>
    <t>st_SA iw</t>
  </si>
  <si>
    <t>st_SE</t>
  </si>
  <si>
    <t>st_FQ res-a</t>
  </si>
  <si>
    <t>st_FQ w</t>
  </si>
  <si>
    <t>st_FQ iw</t>
  </si>
  <si>
    <t>st_GSF s</t>
  </si>
  <si>
    <t>st_FQ res-c</t>
  </si>
  <si>
    <t>st_t com</t>
  </si>
  <si>
    <t>st_t out</t>
  </si>
  <si>
    <t>st_t ind</t>
  </si>
  <si>
    <t>st_GSF i</t>
  </si>
  <si>
    <t>st_IRA res-c</t>
  </si>
  <si>
    <t>st_IFD w</t>
  </si>
  <si>
    <t>st_IFD iw</t>
  </si>
  <si>
    <t>st_SLF</t>
  </si>
  <si>
    <t>st_IRA res-a</t>
  </si>
  <si>
    <t>st_ET res-a,h</t>
  </si>
  <si>
    <t>st_ET res-c,h</t>
  </si>
  <si>
    <t>st_ET res-o</t>
  </si>
  <si>
    <t>st_ET res-i</t>
  </si>
  <si>
    <t>st_SA res-a</t>
  </si>
  <si>
    <t>st_SA res-c</t>
  </si>
  <si>
    <t>st_t res</t>
  </si>
  <si>
    <t>st_IFDres-adj</t>
  </si>
  <si>
    <t>st_IFAres-adj</t>
  </si>
  <si>
    <t>k_decay res_state</t>
  </si>
  <si>
    <t>k_decay w_state</t>
  </si>
  <si>
    <t>k_decay iw_state</t>
  </si>
  <si>
    <t>ss_sL</t>
  </si>
  <si>
    <t>Conc.</t>
  </si>
  <si>
    <t>ANALYSIS</t>
  </si>
  <si>
    <t>TEST</t>
  </si>
  <si>
    <t>LUNG_TYPE</t>
  </si>
  <si>
    <t>ING_FORM</t>
  </si>
  <si>
    <t>INH_FORM</t>
  </si>
  <si>
    <t>ABSORPTION</t>
  </si>
  <si>
    <t>LUNG_FRACTION</t>
  </si>
  <si>
    <t>INGDOSE107_NB</t>
  </si>
  <si>
    <t>INGDOSE107_1YR</t>
  </si>
  <si>
    <t>INGDOSE107_5YR</t>
  </si>
  <si>
    <t>INGDOSE107_10YR</t>
  </si>
  <si>
    <t>INGDOSE107_15YR</t>
  </si>
  <si>
    <t>INGDOSE107_AD</t>
  </si>
  <si>
    <t>INGDOSE107_PC</t>
  </si>
  <si>
    <t>INGDOSE107</t>
  </si>
  <si>
    <t>DCFO107_NB</t>
  </si>
  <si>
    <t>DCFO107_1YR</t>
  </si>
  <si>
    <t>DCFO107_5YR</t>
  </si>
  <si>
    <t>DCFO107_10YR</t>
  </si>
  <si>
    <t>DCFO107_15YR</t>
  </si>
  <si>
    <t>DCFO107_AD</t>
  </si>
  <si>
    <t>DCFO107_PC</t>
  </si>
  <si>
    <t>DCFO107</t>
  </si>
  <si>
    <t>INHDOSE107_NB</t>
  </si>
  <si>
    <t>INHDOSE107_1YR</t>
  </si>
  <si>
    <t>INHDOSE107_5YR</t>
  </si>
  <si>
    <t>INHDOSE107_10YR</t>
  </si>
  <si>
    <t>INHDOSE107_15YR</t>
  </si>
  <si>
    <t>INHDOSE107_AD</t>
  </si>
  <si>
    <t>INHDOSE107_PC</t>
  </si>
  <si>
    <t>INHDOSE107</t>
  </si>
  <si>
    <t>DCFI107_NB</t>
  </si>
  <si>
    <t>DCFI107_1YR</t>
  </si>
  <si>
    <t>DCFI107_5YR</t>
  </si>
  <si>
    <t>DCFI107_10YR</t>
  </si>
  <si>
    <t>DCFI107_15YR</t>
  </si>
  <si>
    <t>DCFI107_AD</t>
  </si>
  <si>
    <t>DCFI107_PC</t>
  </si>
  <si>
    <t>DCFI107</t>
  </si>
  <si>
    <t>EXTDOSE107</t>
  </si>
  <si>
    <t>EXTSUBDOSE107</t>
  </si>
  <si>
    <t>EXTIMMDOSE107</t>
  </si>
  <si>
    <t>EXTGPDOSE107</t>
  </si>
  <si>
    <t>EXTSV1DOSE107</t>
  </si>
  <si>
    <t>EXTSV5DOSE107</t>
  </si>
  <si>
    <t>EXTSV15DOSE107</t>
  </si>
  <si>
    <t>DCFX107</t>
  </si>
  <si>
    <t>DCFXSUB107</t>
  </si>
  <si>
    <t>DCFXIMM107</t>
  </si>
  <si>
    <t>DCFXGP107</t>
  </si>
  <si>
    <t>DCFXSV1107</t>
  </si>
  <si>
    <t>DCFXSV5107</t>
  </si>
  <si>
    <t>DCFXSV15107</t>
  </si>
  <si>
    <t>decay</t>
  </si>
  <si>
    <t>S</t>
  </si>
  <si>
    <t>-</t>
  </si>
  <si>
    <t>F</t>
  </si>
  <si>
    <t>Organic</t>
  </si>
  <si>
    <t>D_ACFGP</t>
  </si>
  <si>
    <t>D_ACFSV</t>
  </si>
  <si>
    <t>D-ACFSV1</t>
  </si>
  <si>
    <t>D_ACFSV5</t>
  </si>
  <si>
    <t>D_ACFSV15</t>
  </si>
  <si>
    <t>d_DL</t>
  </si>
  <si>
    <t>d_AAFres-c</t>
  </si>
  <si>
    <t>d_AAFres-a</t>
  </si>
  <si>
    <t>st_DL</t>
  </si>
  <si>
    <t>~Am-241</t>
  </si>
  <si>
    <t>~Np-237</t>
  </si>
  <si>
    <t>~Pa-233</t>
  </si>
  <si>
    <t>~U-233</t>
  </si>
  <si>
    <t>~Th-229</t>
  </si>
  <si>
    <t>~Ra-225</t>
  </si>
  <si>
    <t>~Ac-225</t>
  </si>
  <si>
    <t>~Fr-221</t>
  </si>
  <si>
    <t>~At-217</t>
  </si>
  <si>
    <t>~Bi-213</t>
  </si>
  <si>
    <t>~Po-213</t>
  </si>
  <si>
    <t>~Tl-209</t>
  </si>
  <si>
    <t>~Pb-209</t>
  </si>
  <si>
    <t>~Cs-137</t>
  </si>
  <si>
    <t>~Ba-137m</t>
  </si>
  <si>
    <t>~Ra-226</t>
  </si>
  <si>
    <t>~Rn-222</t>
  </si>
  <si>
    <t>~Po-218</t>
  </si>
  <si>
    <t>~Pb-214</t>
  </si>
  <si>
    <t>~At-218</t>
  </si>
  <si>
    <t>~Bi-214</t>
  </si>
  <si>
    <t>~Rn-218</t>
  </si>
  <si>
    <t>~Po-214</t>
  </si>
  <si>
    <t>~Tl-210</t>
  </si>
  <si>
    <t>~Pb-210</t>
  </si>
  <si>
    <t>~Bi-210</t>
  </si>
  <si>
    <t>~Hg-206</t>
  </si>
  <si>
    <t>~Po-210</t>
  </si>
  <si>
    <t>~Tl-206</t>
  </si>
  <si>
    <t>st_ED w</t>
  </si>
  <si>
    <t>st_ED iw</t>
  </si>
  <si>
    <t>st_AAFres-c</t>
  </si>
  <si>
    <t>st_AAFres-a</t>
  </si>
  <si>
    <t>INSTRUCTIONS</t>
  </si>
  <si>
    <t>Disclaimer: This archived file was intended for internal review but has been posted due to interest in historical reviews. This file is no longer used to quality assure the EPA DCC calculator as the calculator has undergone significant updates. Quality assurance spreadsheets have been updated accordingly and are provided on the internal verification page of the EPA DCC website.</t>
  </si>
  <si>
    <t>Tab Descriptions</t>
  </si>
  <si>
    <t>Relevant Cell Descriptions on Green Tabs</t>
  </si>
  <si>
    <t>These cells, in column A, represent the primary QA isotopes.</t>
  </si>
  <si>
    <t>These cells, in column A, represent the progeny for the primary QA isotopes.</t>
  </si>
  <si>
    <t>These cells represent fractional contribution applied to DCCs. If individuals progeny are included in the output these values will be presented in the tool output.</t>
  </si>
  <si>
    <r>
      <t xml:space="preserve">In column B, under the </t>
    </r>
    <r>
      <rPr>
        <b/>
        <sz val="10"/>
        <rFont val="Arial"/>
        <family val="2"/>
      </rPr>
      <t xml:space="preserve">'TEST' </t>
    </r>
    <r>
      <rPr>
        <sz val="10"/>
        <rFont val="Arial"/>
        <family val="2"/>
      </rPr>
      <t>filter, a value of '</t>
    </r>
    <r>
      <rPr>
        <b/>
        <sz val="10"/>
        <rFont val="Arial"/>
        <family val="2"/>
      </rPr>
      <t>Y</t>
    </r>
    <r>
      <rPr>
        <sz val="10"/>
        <rFont val="Arial"/>
        <family val="2"/>
      </rPr>
      <t>' means it is a primary test isotope and '</t>
    </r>
    <r>
      <rPr>
        <b/>
        <sz val="10"/>
        <rFont val="Arial"/>
        <family val="2"/>
      </rPr>
      <t>SE</t>
    </r>
    <r>
      <rPr>
        <sz val="10"/>
        <rFont val="Arial"/>
        <family val="2"/>
      </rPr>
      <t>' means it is a progeny for a primary test isotope.</t>
    </r>
  </si>
  <si>
    <t>Other Important Notes</t>
  </si>
  <si>
    <r>
      <t>The</t>
    </r>
    <r>
      <rPr>
        <i/>
        <sz val="11"/>
        <rFont val="Arial"/>
        <family val="2"/>
      </rPr>
      <t xml:space="preserve"> 'Rad_Spec' </t>
    </r>
    <r>
      <rPr>
        <sz val="11"/>
        <rFont val="Arial"/>
        <family val="2"/>
      </rPr>
      <t>tab contains most isotope specific parameters like slope factors.</t>
    </r>
  </si>
  <si>
    <r>
      <t>The '</t>
    </r>
    <r>
      <rPr>
        <i/>
        <sz val="11"/>
        <rFont val="Arial"/>
        <family val="2"/>
      </rPr>
      <t>acf</t>
    </r>
    <r>
      <rPr>
        <sz val="11"/>
        <rFont val="Arial"/>
        <family val="2"/>
      </rPr>
      <t>' tab contains area correction factors that are used for testing.</t>
    </r>
  </si>
  <si>
    <r>
      <t>The '</t>
    </r>
    <r>
      <rPr>
        <i/>
        <sz val="11"/>
        <rFont val="Arial"/>
        <family val="2"/>
      </rPr>
      <t>Fsurf</t>
    </r>
    <r>
      <rPr>
        <sz val="11"/>
        <rFont val="Arial"/>
        <family val="2"/>
      </rPr>
      <t>' tab contains the surfaces factors that are used for testing.</t>
    </r>
  </si>
  <si>
    <r>
      <t>The '</t>
    </r>
    <r>
      <rPr>
        <i/>
        <sz val="11"/>
        <rFont val="Arial"/>
        <family val="2"/>
      </rPr>
      <t>pef'</t>
    </r>
    <r>
      <rPr>
        <sz val="11"/>
        <rFont val="Arial"/>
        <family val="2"/>
      </rPr>
      <t xml:space="preserve"> tab contains the particulate emissions factors that are used for testing.</t>
    </r>
  </si>
  <si>
    <t>The 'd' tab contains all the non isotope specific site-specific exposure parameters that are used to calculate DCCs in the default tabs.</t>
  </si>
  <si>
    <t>The 'st' tab contains all the non isotope specific site-specific exposure parameters that are used to calculate DCCs in the state specific tabs.</t>
  </si>
  <si>
    <t>The point of this QA sheet is to replicate the 'Default' and 'State-Specific' output results for the DCC (Dose Compliance Concentration for Radionuclide Contaminants at Superfund Sites) calculator. Below are instructions for understanding the ins and outs of this spreadsheet. Due to the higher than normal processing time for calculating secular equilibrium, this QA sheet only calculates secular equilibrium DCCs for 4 isotopes including Am-241, Ca-137, Rn-222, &amp; Ra-226).</t>
  </si>
  <si>
    <t>mrem/year</t>
  </si>
  <si>
    <t>st_HR ow</t>
  </si>
  <si>
    <t>1/year</t>
  </si>
  <si>
    <t>st_ED ow</t>
  </si>
  <si>
    <t>unitless</t>
  </si>
  <si>
    <t>st_EF ow</t>
  </si>
  <si>
    <t>st_ET ow</t>
  </si>
  <si>
    <t>st_IRA ow</t>
  </si>
  <si>
    <t>st_SA ow</t>
  </si>
  <si>
    <t>st_FQ ow</t>
  </si>
  <si>
    <t>cm^2/kg</t>
  </si>
  <si>
    <t>cm^2/day</t>
  </si>
  <si>
    <t>st_IFD ow</t>
  </si>
  <si>
    <t>k_decay ow_state</t>
  </si>
  <si>
    <t>fraction</t>
  </si>
  <si>
    <t>cm^2/year</t>
  </si>
  <si>
    <t>m^3/year</t>
  </si>
  <si>
    <t>g/m^2-s per kg/m^3</t>
  </si>
  <si>
    <t>km/year</t>
  </si>
  <si>
    <t>seconds</t>
  </si>
  <si>
    <t>(lb/VMT)</t>
  </si>
  <si>
    <t>count</t>
  </si>
  <si>
    <t>%</t>
  </si>
  <si>
    <t>acres</t>
  </si>
  <si>
    <t>tons</t>
  </si>
  <si>
    <t>m^2</t>
  </si>
  <si>
    <t>feet</t>
  </si>
  <si>
    <t>km</t>
  </si>
  <si>
    <t>weeks</t>
  </si>
  <si>
    <t>g/m^2</t>
  </si>
  <si>
    <t>days</t>
  </si>
  <si>
    <t>d-p</t>
  </si>
  <si>
    <t>(g/VKT)</t>
  </si>
  <si>
    <t xml:space="preserve">These tabs present DCCs in units of mrem for the secular equilibrium output option. Tabs that begin with 'd_' should be used to test the default output and use inputs from the 'd' tab . Tabs that begin with 'st_' should be used to test the state-specific output and use inputs from the 'st' tab. </t>
  </si>
  <si>
    <t>For the 'Site-Specific with Defaults' and 'Site-Specific User Provided' tabs, the ACF is based on 20,000, the GSF is based on 20, and the FSURF is based on Center of Sidewalk and 59.</t>
  </si>
  <si>
    <t>These cells, are calculated based on specific inputs and cannot be altered unless the respective inputs are altered.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</si>
</sst>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E+00"/>
  </numFmts>
  <fonts count="24">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1"/>
      <name val="Calibri"/>
      <family val="2"/>
      <scheme val="minor"/>
    </font>
    <font>
      <sz val="11"/>
      <name val="Calibri"/>
      <family val="2"/>
      <scheme val="minor"/>
    </font>
    <font>
      <sz val="11"/>
      <color theme="9" tint="-0.499984740745262"/>
      <name val="Calibri"/>
      <family val="2"/>
      <scheme val="minor"/>
    </font>
    <font>
      <b/>
      <i/>
      <sz val="11"/>
      <name val="Calibri"/>
      <family val="2"/>
      <scheme val="minor"/>
    </font>
    <font>
      <i/>
      <sz val="11"/>
      <color theme="1"/>
      <name val="Calibri"/>
      <family val="2"/>
      <scheme val="minor"/>
    </font>
    <font>
      <sz val="10"/>
      <name val="Lohit Hindi"/>
      <family val="2"/>
      <charset val="1"/>
    </font>
    <font>
      <sz val="11"/>
      <color rgb="FF151515"/>
      <name val="Calibri"/>
      <family val="2"/>
      <scheme val="minor"/>
    </font>
    <font>
      <i/>
      <sz val="10"/>
      <color theme="1"/>
      <name val="Calibri (body)"/>
    </font>
    <font>
      <b/>
      <sz val="22"/>
      <color rgb="FFFF0000"/>
      <name val="Arial"/>
      <family val="2"/>
    </font>
    <font>
      <b/>
      <sz val="12"/>
      <color rgb="FFFF0000"/>
      <name val="Arial"/>
      <family val="2"/>
    </font>
    <font>
      <b/>
      <sz val="11"/>
      <name val="Arial"/>
      <family val="2"/>
    </font>
    <font>
      <sz val="12"/>
      <name val="Arial"/>
      <family val="2"/>
    </font>
    <font>
      <b/>
      <sz val="12"/>
      <name val="Arial"/>
      <family val="2"/>
    </font>
    <font>
      <b/>
      <sz val="11"/>
      <color theme="0"/>
      <name val="Arial"/>
      <family val="2"/>
    </font>
    <font>
      <sz val="11"/>
      <name val="Arial"/>
      <family val="2"/>
    </font>
    <font>
      <i/>
      <sz val="11"/>
      <name val="Arial"/>
      <family val="2"/>
    </font>
    <font>
      <b/>
      <sz val="10"/>
      <color rgb="FFFF0000"/>
      <name val="Arial"/>
      <family val="2"/>
    </font>
    <font>
      <b/>
      <i/>
      <sz val="11"/>
      <color theme="9" tint="-0.499984740745262"/>
      <name val="Calibri"/>
      <family val="2"/>
      <scheme val="minor"/>
    </font>
    <font>
      <sz val="10"/>
      <color theme="9" tint="-0.499984740745262"/>
      <name val="Arial"/>
      <family val="2"/>
    </font>
  </fonts>
  <fills count="19">
    <fill>
      <patternFill patternType="none"/>
    </fill>
    <fill>
      <patternFill patternType="gray125"/>
    </fill>
    <fill>
      <patternFill patternType="solid">
        <fgColor rgb="FFCCCCFF"/>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66"/>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E9D9FF"/>
        <bgColor indexed="64"/>
      </patternFill>
    </fill>
    <fill>
      <patternFill patternType="solid">
        <fgColor rgb="FFFFDEBD"/>
        <bgColor indexed="64"/>
      </patternFill>
    </fill>
    <fill>
      <patternFill patternType="solid">
        <fgColor theme="9" tint="-0.499984740745262"/>
        <bgColor indexed="64"/>
      </patternFill>
    </fill>
    <fill>
      <patternFill patternType="solid">
        <fgColor theme="5" tint="0.79998168889431442"/>
        <bgColor indexed="64"/>
      </patternFill>
    </fill>
  </fills>
  <borders count="17">
    <border>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4" fillId="0" borderId="0"/>
    <xf numFmtId="0" fontId="4" fillId="0" borderId="0"/>
    <xf numFmtId="0" fontId="4" fillId="0" borderId="0"/>
    <xf numFmtId="0" fontId="10" fillId="0" borderId="0"/>
    <xf numFmtId="0" fontId="4" fillId="0" borderId="0"/>
  </cellStyleXfs>
  <cellXfs count="125">
    <xf numFmtId="0" fontId="0" fillId="0" borderId="0" xfId="0"/>
    <xf numFmtId="0" fontId="0" fillId="0" borderId="0" xfId="0" applyAlignment="1" applyProtection="1">
      <alignment horizontal="left"/>
      <protection locked="0"/>
    </xf>
    <xf numFmtId="0" fontId="7" fillId="3" borderId="0" xfId="0" applyFont="1" applyFill="1" applyAlignment="1">
      <alignment horizontal="center"/>
    </xf>
    <xf numFmtId="2" fontId="7" fillId="3" borderId="8" xfId="0" applyNumberFormat="1" applyFont="1" applyFill="1" applyBorder="1"/>
    <xf numFmtId="0" fontId="0" fillId="0" borderId="0" xfId="0" applyProtection="1">
      <protection locked="0"/>
    </xf>
    <xf numFmtId="11" fontId="0" fillId="0" borderId="0" xfId="0" applyNumberFormat="1" applyProtection="1">
      <protection locked="0"/>
    </xf>
    <xf numFmtId="11" fontId="0" fillId="0" borderId="0" xfId="0" applyNumberFormat="1" applyAlignment="1" applyProtection="1">
      <alignment horizontal="center"/>
      <protection locked="0"/>
    </xf>
    <xf numFmtId="164" fontId="0" fillId="0" borderId="0" xfId="0" applyNumberFormat="1"/>
    <xf numFmtId="0" fontId="7" fillId="3" borderId="0" xfId="0" applyFont="1" applyFill="1"/>
    <xf numFmtId="0" fontId="4" fillId="0" borderId="0" xfId="3"/>
    <xf numFmtId="0" fontId="13" fillId="0" borderId="0" xfId="3" applyFont="1" applyAlignment="1">
      <alignment horizontal="center" vertical="center"/>
    </xf>
    <xf numFmtId="0" fontId="13" fillId="0" borderId="0" xfId="3" applyFont="1" applyAlignment="1" applyProtection="1">
      <alignment vertical="center"/>
      <protection locked="0"/>
    </xf>
    <xf numFmtId="0" fontId="4" fillId="0" borderId="0" xfId="3" applyProtection="1">
      <protection locked="0"/>
    </xf>
    <xf numFmtId="0" fontId="14" fillId="0" borderId="12" xfId="3" applyFont="1" applyBorder="1" applyAlignment="1">
      <alignment horizontal="left" vertical="center" wrapText="1"/>
    </xf>
    <xf numFmtId="0" fontId="15" fillId="0" borderId="0" xfId="3" applyFont="1" applyAlignment="1" applyProtection="1">
      <alignment wrapText="1"/>
      <protection locked="0"/>
    </xf>
    <xf numFmtId="0" fontId="15" fillId="0" borderId="0" xfId="3" applyFont="1" applyAlignment="1">
      <alignment wrapText="1"/>
    </xf>
    <xf numFmtId="0" fontId="16" fillId="0" borderId="0" xfId="3" applyFont="1" applyAlignment="1">
      <alignment wrapText="1"/>
    </xf>
    <xf numFmtId="0" fontId="17" fillId="0" borderId="0" xfId="3" applyFont="1" applyAlignment="1">
      <alignment horizontal="center"/>
    </xf>
    <xf numFmtId="0" fontId="18" fillId="17" borderId="13" xfId="3" applyFont="1" applyFill="1" applyBorder="1" applyAlignment="1">
      <alignment wrapText="1"/>
    </xf>
    <xf numFmtId="0" fontId="15" fillId="0" borderId="14" xfId="3" applyFont="1" applyBorder="1"/>
    <xf numFmtId="0" fontId="19" fillId="0" borderId="14" xfId="3" applyFont="1" applyBorder="1"/>
    <xf numFmtId="0" fontId="4" fillId="5" borderId="13" xfId="5" applyFill="1" applyBorder="1"/>
    <xf numFmtId="0" fontId="4" fillId="2" borderId="14" xfId="5" applyFill="1" applyBorder="1"/>
    <xf numFmtId="0" fontId="4" fillId="18" borderId="14" xfId="5" applyFill="1" applyBorder="1"/>
    <xf numFmtId="0" fontId="4" fillId="0" borderId="15" xfId="3" applyBorder="1"/>
    <xf numFmtId="0" fontId="18" fillId="0" borderId="0" xfId="3" applyFont="1"/>
    <xf numFmtId="0" fontId="19" fillId="0" borderId="16" xfId="3" applyFont="1" applyBorder="1"/>
    <xf numFmtId="0" fontId="19" fillId="0" borderId="0" xfId="3" applyFont="1" applyBorder="1"/>
    <xf numFmtId="0" fontId="0" fillId="0" borderId="0" xfId="0" applyAlignment="1" applyProtection="1">
      <alignment horizontal="center"/>
      <protection locked="0"/>
    </xf>
    <xf numFmtId="0" fontId="1" fillId="0" borderId="0" xfId="1" applyFont="1" applyAlignment="1" applyProtection="1">
      <alignment horizontal="center" vertical="center"/>
      <protection locked="0"/>
    </xf>
    <xf numFmtId="0" fontId="1" fillId="0" borderId="0" xfId="1" applyFont="1" applyAlignment="1" applyProtection="1">
      <alignment vertical="center"/>
      <protection locked="0"/>
    </xf>
    <xf numFmtId="0" fontId="6" fillId="0" borderId="0" xfId="1" applyFont="1" applyAlignment="1" applyProtection="1">
      <alignment vertical="center"/>
      <protection locked="0"/>
    </xf>
    <xf numFmtId="0" fontId="6" fillId="0" borderId="0" xfId="1" applyFont="1" applyProtection="1">
      <protection locked="0"/>
    </xf>
    <xf numFmtId="0" fontId="7" fillId="3" borderId="0" xfId="1" applyFont="1" applyFill="1" applyAlignment="1">
      <alignment horizontal="center" vertical="center"/>
    </xf>
    <xf numFmtId="0" fontId="1" fillId="0" borderId="0" xfId="2" applyFont="1" applyAlignment="1" applyProtection="1">
      <alignment vertical="center"/>
      <protection locked="0"/>
    </xf>
    <xf numFmtId="0" fontId="0" fillId="0" borderId="0" xfId="2" applyFont="1" applyAlignment="1" applyProtection="1">
      <alignment vertical="center"/>
      <protection locked="0"/>
    </xf>
    <xf numFmtId="11" fontId="7" fillId="3" borderId="0" xfId="0" applyNumberFormat="1" applyFont="1" applyFill="1" applyAlignment="1">
      <alignment horizontal="center"/>
    </xf>
    <xf numFmtId="0" fontId="6" fillId="0" borderId="0" xfId="0" applyFont="1" applyAlignment="1" applyProtection="1">
      <alignment horizontal="center"/>
      <protection locked="0"/>
    </xf>
    <xf numFmtId="2" fontId="7" fillId="3" borderId="0" xfId="0" applyNumberFormat="1" applyFont="1" applyFill="1" applyAlignment="1">
      <alignment horizontal="center"/>
    </xf>
    <xf numFmtId="0" fontId="5" fillId="0" borderId="4" xfId="3" applyFont="1" applyBorder="1" applyAlignment="1" applyProtection="1">
      <alignment horizontal="center"/>
      <protection locked="0"/>
    </xf>
    <xf numFmtId="11" fontId="22" fillId="3" borderId="5" xfId="0" applyNumberFormat="1" applyFont="1" applyFill="1" applyBorder="1" applyAlignment="1">
      <alignment horizontal="center" vertical="center"/>
    </xf>
    <xf numFmtId="11" fontId="8" fillId="0" borderId="6"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0" fillId="0" borderId="6" xfId="0" applyBorder="1" applyProtection="1">
      <protection locked="0"/>
    </xf>
    <xf numFmtId="0" fontId="6" fillId="0" borderId="7" xfId="0" applyFont="1" applyBorder="1" applyProtection="1">
      <protection locked="0"/>
    </xf>
    <xf numFmtId="2" fontId="0" fillId="0" borderId="9" xfId="0" applyNumberFormat="1" applyBorder="1" applyProtection="1">
      <protection locked="0"/>
    </xf>
    <xf numFmtId="0" fontId="0" fillId="0" borderId="7" xfId="0" applyBorder="1" applyProtection="1">
      <protection locked="0"/>
    </xf>
    <xf numFmtId="2" fontId="0" fillId="0" borderId="8" xfId="0" applyNumberFormat="1"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7" fillId="3" borderId="0" xfId="0" applyFont="1" applyFill="1" applyProtection="1">
      <protection locked="0"/>
    </xf>
    <xf numFmtId="0" fontId="7" fillId="3" borderId="2" xfId="0" applyFont="1" applyFill="1" applyBorder="1" applyProtection="1">
      <protection locked="0"/>
    </xf>
    <xf numFmtId="0" fontId="6" fillId="0" borderId="10" xfId="0" applyFont="1" applyBorder="1" applyProtection="1">
      <protection locked="0"/>
    </xf>
    <xf numFmtId="0" fontId="0" fillId="0" borderId="8" xfId="0" applyBorder="1" applyProtection="1">
      <protection locked="0"/>
    </xf>
    <xf numFmtId="0" fontId="3" fillId="0" borderId="0" xfId="0" applyFont="1" applyProtection="1"/>
    <xf numFmtId="0" fontId="0" fillId="0" borderId="0" xfId="0" applyProtection="1"/>
    <xf numFmtId="0" fontId="9" fillId="14" borderId="0" xfId="0" applyFont="1" applyFill="1" applyProtection="1"/>
    <xf numFmtId="0" fontId="0" fillId="2" borderId="0" xfId="0" applyFill="1" applyProtection="1"/>
    <xf numFmtId="11" fontId="0" fillId="0" borderId="0" xfId="0" applyNumberFormat="1" applyAlignment="1" applyProtection="1">
      <alignment horizontal="center"/>
    </xf>
    <xf numFmtId="0" fontId="0" fillId="5" borderId="0" xfId="0" applyFill="1" applyProtection="1"/>
    <xf numFmtId="0" fontId="0" fillId="15" borderId="0" xfId="0" applyFill="1" applyAlignment="1" applyProtection="1">
      <alignment horizontal="right"/>
    </xf>
    <xf numFmtId="11" fontId="0" fillId="15" borderId="0" xfId="0" applyNumberFormat="1" applyFill="1" applyAlignment="1" applyProtection="1">
      <alignment horizontal="center"/>
    </xf>
    <xf numFmtId="0" fontId="9" fillId="0" borderId="0" xfId="0" applyFont="1" applyAlignment="1" applyProtection="1">
      <alignment horizontal="right"/>
    </xf>
    <xf numFmtId="0" fontId="0" fillId="15" borderId="0" xfId="0" applyFill="1" applyProtection="1"/>
    <xf numFmtId="11" fontId="9" fillId="15" borderId="0" xfId="0" applyNumberFormat="1" applyFont="1" applyFill="1" applyAlignment="1" applyProtection="1">
      <alignment horizontal="right"/>
    </xf>
    <xf numFmtId="11" fontId="9" fillId="15" borderId="0" xfId="0" applyNumberFormat="1" applyFont="1" applyFill="1" applyAlignment="1" applyProtection="1"/>
    <xf numFmtId="11" fontId="6" fillId="0" borderId="0" xfId="0" applyNumberFormat="1" applyFont="1" applyFill="1" applyAlignment="1" applyProtection="1">
      <alignment horizontal="right"/>
    </xf>
    <xf numFmtId="11" fontId="0" fillId="0" borderId="0" xfId="0" applyNumberFormat="1" applyAlignment="1" applyProtection="1"/>
    <xf numFmtId="11" fontId="0" fillId="0" borderId="0" xfId="0" applyNumberFormat="1" applyFill="1" applyAlignment="1" applyProtection="1">
      <alignment horizontal="right"/>
    </xf>
    <xf numFmtId="11" fontId="0" fillId="0" borderId="0" xfId="0" applyNumberFormat="1" applyAlignment="1" applyProtection="1">
      <alignment horizontal="right"/>
    </xf>
    <xf numFmtId="11" fontId="12" fillId="15" borderId="0" xfId="0" applyNumberFormat="1" applyFont="1" applyFill="1" applyAlignment="1" applyProtection="1"/>
    <xf numFmtId="11" fontId="0" fillId="0" borderId="0" xfId="0" applyNumberFormat="1" applyAlignment="1" applyProtection="1">
      <alignment horizontal="center" vertical="center"/>
    </xf>
    <xf numFmtId="11" fontId="12" fillId="15" borderId="0" xfId="0" applyNumberFormat="1" applyFont="1" applyFill="1" applyAlignment="1" applyProtection="1">
      <alignment horizontal="right"/>
    </xf>
    <xf numFmtId="0" fontId="0" fillId="0" borderId="0" xfId="0" applyFont="1" applyProtection="1"/>
    <xf numFmtId="0" fontId="0" fillId="0" borderId="0" xfId="0" applyFont="1" applyProtection="1">
      <protection locked="0"/>
    </xf>
    <xf numFmtId="0" fontId="0" fillId="2" borderId="0" xfId="0" applyFont="1" applyFill="1" applyProtection="1"/>
    <xf numFmtId="11" fontId="0" fillId="0" borderId="0" xfId="0" applyNumberFormat="1" applyFont="1" applyAlignment="1" applyProtection="1">
      <alignment horizontal="center"/>
    </xf>
    <xf numFmtId="11" fontId="0" fillId="0" borderId="0" xfId="0" applyNumberFormat="1" applyFont="1" applyAlignment="1" applyProtection="1">
      <alignment horizontal="center" vertical="center"/>
    </xf>
    <xf numFmtId="0" fontId="0" fillId="5" borderId="0" xfId="0" applyFont="1" applyFill="1" applyProtection="1"/>
    <xf numFmtId="0" fontId="0" fillId="15" borderId="0" xfId="0" applyFont="1" applyFill="1" applyAlignment="1" applyProtection="1">
      <alignment horizontal="right"/>
    </xf>
    <xf numFmtId="11" fontId="0" fillId="0" borderId="0" xfId="0" applyNumberFormat="1" applyFont="1" applyAlignment="1" applyProtection="1"/>
    <xf numFmtId="11" fontId="0" fillId="0" borderId="0" xfId="0" applyNumberFormat="1" applyFont="1" applyFill="1" applyAlignment="1" applyProtection="1">
      <alignment horizontal="right"/>
    </xf>
    <xf numFmtId="11" fontId="0" fillId="0" borderId="0" xfId="0" applyNumberFormat="1" applyFont="1" applyAlignment="1" applyProtection="1">
      <alignment horizontal="right"/>
    </xf>
    <xf numFmtId="0" fontId="5" fillId="0" borderId="0" xfId="0" applyFont="1" applyProtection="1"/>
    <xf numFmtId="0" fontId="5" fillId="0" borderId="0" xfId="0" applyFont="1" applyAlignment="1" applyProtection="1">
      <alignment horizontal="left"/>
    </xf>
    <xf numFmtId="0" fontId="0" fillId="0" borderId="0" xfId="0" applyFont="1" applyFill="1" applyProtection="1"/>
    <xf numFmtId="0" fontId="0" fillId="18" borderId="0" xfId="0" applyFont="1" applyFill="1" applyAlignment="1" applyProtection="1">
      <alignment horizontal="right"/>
    </xf>
    <xf numFmtId="0" fontId="11" fillId="18" borderId="0" xfId="0" applyFont="1" applyFill="1" applyAlignment="1" applyProtection="1">
      <alignment horizontal="right"/>
    </xf>
    <xf numFmtId="0" fontId="0" fillId="18" borderId="0" xfId="0" applyNumberFormat="1" applyFont="1" applyFill="1" applyAlignment="1" applyProtection="1">
      <alignment horizontal="right"/>
    </xf>
    <xf numFmtId="0" fontId="5" fillId="13" borderId="4" xfId="0" applyFont="1" applyFill="1" applyBorder="1" applyAlignment="1" applyProtection="1">
      <alignment horizontal="center"/>
      <protection locked="0"/>
    </xf>
    <xf numFmtId="0" fontId="5" fillId="13" borderId="5" xfId="0" applyFont="1" applyFill="1" applyBorder="1" applyAlignment="1" applyProtection="1">
      <alignment horizontal="center"/>
      <protection locked="0"/>
    </xf>
    <xf numFmtId="0" fontId="5" fillId="13" borderId="6" xfId="0" applyFont="1" applyFill="1" applyBorder="1" applyAlignment="1" applyProtection="1">
      <alignment horizontal="center"/>
      <protection locked="0"/>
    </xf>
    <xf numFmtId="0" fontId="5" fillId="8" borderId="1" xfId="0" applyFont="1" applyFill="1" applyBorder="1" applyAlignment="1" applyProtection="1">
      <alignment horizontal="center"/>
      <protection locked="0"/>
    </xf>
    <xf numFmtId="0" fontId="5" fillId="8" borderId="2" xfId="0" applyFont="1" applyFill="1" applyBorder="1" applyAlignment="1" applyProtection="1">
      <alignment horizontal="center"/>
      <protection locked="0"/>
    </xf>
    <xf numFmtId="0" fontId="5" fillId="8" borderId="3" xfId="0" applyFont="1" applyFill="1" applyBorder="1" applyAlignment="1" applyProtection="1">
      <alignment horizontal="center"/>
      <protection locked="0"/>
    </xf>
    <xf numFmtId="0" fontId="5" fillId="9" borderId="1" xfId="0" applyFont="1" applyFill="1" applyBorder="1" applyAlignment="1" applyProtection="1">
      <alignment horizontal="center"/>
      <protection locked="0"/>
    </xf>
    <xf numFmtId="0" fontId="5" fillId="9" borderId="2" xfId="0" applyFont="1" applyFill="1" applyBorder="1" applyAlignment="1" applyProtection="1">
      <alignment horizontal="center"/>
      <protection locked="0"/>
    </xf>
    <xf numFmtId="0" fontId="5" fillId="9" borderId="3" xfId="0" applyFont="1" applyFill="1" applyBorder="1" applyAlignment="1" applyProtection="1">
      <alignment horizontal="center"/>
      <protection locked="0"/>
    </xf>
    <xf numFmtId="0" fontId="5" fillId="10" borderId="1" xfId="0" applyFont="1" applyFill="1" applyBorder="1" applyAlignment="1" applyProtection="1">
      <alignment horizontal="center"/>
      <protection locked="0"/>
    </xf>
    <xf numFmtId="0" fontId="5" fillId="10" borderId="2" xfId="0" applyFont="1" applyFill="1" applyBorder="1" applyAlignment="1" applyProtection="1">
      <alignment horizontal="center"/>
      <protection locked="0"/>
    </xf>
    <xf numFmtId="0" fontId="5" fillId="10" borderId="3" xfId="0" applyFont="1" applyFill="1" applyBorder="1" applyAlignment="1" applyProtection="1">
      <alignment horizontal="center"/>
      <protection locked="0"/>
    </xf>
    <xf numFmtId="0" fontId="5" fillId="11" borderId="1"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5" fillId="12" borderId="1" xfId="0" applyFont="1" applyFill="1" applyBorder="1" applyAlignment="1" applyProtection="1">
      <alignment horizontal="center"/>
      <protection locked="0"/>
    </xf>
    <xf numFmtId="0" fontId="5" fillId="12" borderId="2" xfId="0" applyFont="1" applyFill="1" applyBorder="1" applyAlignment="1" applyProtection="1">
      <alignment horizontal="center"/>
      <protection locked="0"/>
    </xf>
    <xf numFmtId="0" fontId="5" fillId="12" borderId="3"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5" fillId="4" borderId="0" xfId="1" applyFont="1" applyFill="1" applyAlignment="1" applyProtection="1">
      <alignment horizontal="center" vertical="center"/>
      <protection locked="0"/>
    </xf>
    <xf numFmtId="0" fontId="5" fillId="5" borderId="0" xfId="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5" fillId="7" borderId="0" xfId="1" applyFont="1" applyFill="1" applyAlignment="1" applyProtection="1">
      <alignment horizontal="center" vertical="center"/>
      <protection locked="0"/>
    </xf>
    <xf numFmtId="0" fontId="21" fillId="0" borderId="16" xfId="5" applyFont="1" applyBorder="1" applyAlignment="1">
      <alignment wrapText="1"/>
    </xf>
    <xf numFmtId="0" fontId="23" fillId="3" borderId="13" xfId="3" applyFont="1" applyFill="1" applyBorder="1"/>
    <xf numFmtId="0" fontId="3" fillId="0" borderId="0" xfId="0" applyFont="1" applyAlignment="1" applyProtection="1">
      <alignment horizontal="left"/>
    </xf>
    <xf numFmtId="11" fontId="3" fillId="0" borderId="0" xfId="0" applyNumberFormat="1" applyFont="1" applyProtection="1"/>
    <xf numFmtId="11" fontId="0" fillId="0" borderId="0" xfId="0" applyNumberFormat="1" applyProtection="1"/>
    <xf numFmtId="0" fontId="0" fillId="16" borderId="0" xfId="0" applyFill="1" applyProtection="1"/>
    <xf numFmtId="11" fontId="2" fillId="0" borderId="0" xfId="0" applyNumberFormat="1" applyFont="1" applyAlignment="1" applyProtection="1">
      <alignment horizontal="left"/>
    </xf>
    <xf numFmtId="11" fontId="7" fillId="5" borderId="0" xfId="0" applyNumberFormat="1" applyFont="1" applyFill="1" applyProtection="1"/>
    <xf numFmtId="11" fontId="0" fillId="0" borderId="0" xfId="0" applyNumberFormat="1" applyAlignment="1" applyProtection="1">
      <alignment horizontal="left"/>
    </xf>
    <xf numFmtId="0" fontId="0" fillId="0" borderId="0" xfId="0" applyAlignment="1" applyProtection="1">
      <alignment horizontal="right"/>
    </xf>
  </cellXfs>
  <cellStyles count="6">
    <cellStyle name="Normal" xfId="0" builtinId="0"/>
    <cellStyle name="Normal 2 2" xfId="5" xr:uid="{457B08B8-30B0-4C1C-B29E-2E492F368E96}"/>
    <cellStyle name="Normal 2 8" xfId="3" xr:uid="{00000000-0005-0000-0000-000001000000}"/>
    <cellStyle name="Normal 3" xfId="1" xr:uid="{00000000-0005-0000-0000-000002000000}"/>
    <cellStyle name="Normal 4" xfId="2" xr:uid="{00000000-0005-0000-0000-000003000000}"/>
    <cellStyle name="TableStyleLight1" xfId="4" xr:uid="{00000000-0005-0000-0000-000004000000}"/>
  </cellStyles>
  <dxfs count="1">
    <dxf>
      <fill>
        <patternFill>
          <bgColor theme="9" tint="0.59996337778862885"/>
        </patternFill>
      </fill>
    </dxf>
  </dxfs>
  <tableStyles count="0" defaultTableStyle="TableStyleMedium2" defaultPivotStyle="PivotStyleLight16"/>
  <colors>
    <mruColors>
      <color rgb="FFE9D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21\OneDrive%20-%20Oak%20Ridge%20National%20Laboratory\EPA%20Tools\DCC\2019_Jan_PublicQA\DCC_worker_SE_no_dec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dSpec"/>
      <sheetName val="d"/>
      <sheetName val="d_ind"/>
      <sheetName val="d_out"/>
      <sheetName val="d_com"/>
      <sheetName val="d_con"/>
      <sheetName val="def_acf"/>
      <sheetName val="s_RadSpec"/>
      <sheetName val="s_ind"/>
      <sheetName val="s_out"/>
      <sheetName val="s_com"/>
      <sheetName val="s_con"/>
      <sheetName val="ss"/>
      <sheetName val="up_RadSpec"/>
      <sheetName val="up_ind"/>
      <sheetName val="up_out"/>
      <sheetName val="up_com"/>
      <sheetName val="up_con"/>
    </sheetNames>
    <sheetDataSet>
      <sheetData sheetId="0" refreshError="1"/>
      <sheetData sheetId="1" refreshError="1"/>
      <sheetData sheetId="2">
        <row r="2">
          <cell r="B2">
            <v>1</v>
          </cell>
          <cell r="E2">
            <v>1</v>
          </cell>
          <cell r="H2">
            <v>1</v>
          </cell>
          <cell r="K2">
            <v>1</v>
          </cell>
          <cell r="N2">
            <v>1</v>
          </cell>
          <cell r="Q2">
            <v>1359344473.5814338</v>
          </cell>
          <cell r="T2">
            <v>1089112.8445117865</v>
          </cell>
          <cell r="W2">
            <v>49419631.204924718</v>
          </cell>
        </row>
        <row r="3">
          <cell r="B3">
            <v>1</v>
          </cell>
          <cell r="Q3">
            <v>4.6900000000000004</v>
          </cell>
          <cell r="T3">
            <v>23.017850304789416</v>
          </cell>
          <cell r="W3">
            <v>14.314066768501952</v>
          </cell>
        </row>
        <row r="4">
          <cell r="E4">
            <v>60</v>
          </cell>
          <cell r="H4">
            <v>60</v>
          </cell>
          <cell r="K4">
            <v>60</v>
          </cell>
          <cell r="N4">
            <v>60</v>
          </cell>
          <cell r="Q4">
            <v>11.32</v>
          </cell>
          <cell r="T4">
            <v>7200000</v>
          </cell>
          <cell r="W4">
            <v>1.5585863369605828E-6</v>
          </cell>
        </row>
        <row r="5">
          <cell r="B5">
            <v>1</v>
          </cell>
          <cell r="E5">
            <v>50</v>
          </cell>
          <cell r="H5">
            <v>100</v>
          </cell>
          <cell r="K5">
            <v>100</v>
          </cell>
          <cell r="N5">
            <v>330</v>
          </cell>
          <cell r="Q5">
            <v>0.19400000000000001</v>
          </cell>
          <cell r="T5">
            <v>274.21393385475488</v>
          </cell>
          <cell r="W5">
            <v>4401.9567729252149</v>
          </cell>
        </row>
        <row r="6">
          <cell r="E6">
            <v>250</v>
          </cell>
          <cell r="H6">
            <v>225</v>
          </cell>
          <cell r="K6">
            <v>250</v>
          </cell>
          <cell r="N6">
            <v>250</v>
          </cell>
          <cell r="Q6">
            <v>0.5</v>
          </cell>
          <cell r="T6">
            <v>8</v>
          </cell>
          <cell r="W6">
            <v>1658.1505859098856</v>
          </cell>
        </row>
        <row r="7">
          <cell r="H7">
            <v>8</v>
          </cell>
          <cell r="K7">
            <v>4</v>
          </cell>
          <cell r="N7">
            <v>5</v>
          </cell>
          <cell r="Q7">
            <v>93.773582452087695</v>
          </cell>
          <cell r="T7">
            <v>337.36965049135631</v>
          </cell>
          <cell r="W7">
            <v>739.26351214461999</v>
          </cell>
        </row>
        <row r="8">
          <cell r="E8">
            <v>8</v>
          </cell>
          <cell r="K8">
            <v>4</v>
          </cell>
          <cell r="N8">
            <v>50</v>
          </cell>
          <cell r="Q8">
            <v>0.5</v>
          </cell>
          <cell r="T8">
            <v>0.18583720873299323</v>
          </cell>
          <cell r="W8">
            <v>10863.846413114754</v>
          </cell>
        </row>
        <row r="9">
          <cell r="N9">
            <v>8</v>
          </cell>
          <cell r="Q9">
            <v>16.2302</v>
          </cell>
          <cell r="T9">
            <v>8400</v>
          </cell>
          <cell r="W9">
            <v>5043.3532488378178</v>
          </cell>
        </row>
        <row r="10">
          <cell r="N10">
            <v>0</v>
          </cell>
          <cell r="Q10">
            <v>18.776199999999999</v>
          </cell>
          <cell r="T10">
            <v>147.58077449315678</v>
          </cell>
          <cell r="W10">
            <v>2023.43</v>
          </cell>
        </row>
        <row r="11">
          <cell r="Q11">
            <v>216.108</v>
          </cell>
          <cell r="T11">
            <v>4.4982620065514185E-2</v>
          </cell>
          <cell r="W11">
            <v>24.879098360655735</v>
          </cell>
        </row>
        <row r="12">
          <cell r="T12">
            <v>20</v>
          </cell>
          <cell r="W12">
            <v>24.879098360655735</v>
          </cell>
        </row>
        <row r="13">
          <cell r="T13">
            <v>20</v>
          </cell>
          <cell r="W13">
            <v>1.68</v>
          </cell>
        </row>
        <row r="14">
          <cell r="T14">
            <v>10</v>
          </cell>
          <cell r="W14">
            <v>4047</v>
          </cell>
        </row>
        <row r="15">
          <cell r="T15">
            <v>0.5</v>
          </cell>
          <cell r="W15">
            <v>1</v>
          </cell>
        </row>
        <row r="16">
          <cell r="T16">
            <v>0.2</v>
          </cell>
          <cell r="W16">
            <v>2</v>
          </cell>
        </row>
        <row r="17">
          <cell r="T17">
            <v>70</v>
          </cell>
          <cell r="W17">
            <v>12</v>
          </cell>
        </row>
        <row r="18">
          <cell r="T18">
            <v>8.5</v>
          </cell>
          <cell r="W18">
            <v>6.9</v>
          </cell>
        </row>
        <row r="19">
          <cell r="T19">
            <v>12.9351</v>
          </cell>
          <cell r="W19">
            <v>7.9</v>
          </cell>
        </row>
        <row r="20">
          <cell r="T20">
            <v>5.7382999999999997</v>
          </cell>
          <cell r="W20">
            <v>11.4</v>
          </cell>
        </row>
        <row r="21">
          <cell r="T21">
            <v>71.771100000000004</v>
          </cell>
          <cell r="W21">
            <v>11.4</v>
          </cell>
        </row>
        <row r="22">
          <cell r="W22">
            <v>18</v>
          </cell>
        </row>
        <row r="23">
          <cell r="W23">
            <v>1</v>
          </cell>
        </row>
        <row r="24">
          <cell r="W24">
            <v>2</v>
          </cell>
        </row>
        <row r="25">
          <cell r="W25">
            <v>5</v>
          </cell>
        </row>
        <row r="26">
          <cell r="W26">
            <v>5</v>
          </cell>
        </row>
        <row r="27">
          <cell r="W27">
            <v>2.44</v>
          </cell>
        </row>
        <row r="28">
          <cell r="W28">
            <v>2.44</v>
          </cell>
        </row>
        <row r="29">
          <cell r="W29">
            <v>3</v>
          </cell>
        </row>
        <row r="30">
          <cell r="W30">
            <v>3</v>
          </cell>
        </row>
        <row r="31">
          <cell r="W31">
            <v>2.4538000000000002</v>
          </cell>
        </row>
        <row r="32">
          <cell r="W32">
            <v>17.565999999999999</v>
          </cell>
        </row>
        <row r="33">
          <cell r="W33">
            <v>189.04259999999999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v>5</v>
          </cell>
          <cell r="E2">
            <v>1</v>
          </cell>
          <cell r="H2">
            <v>1</v>
          </cell>
          <cell r="K2">
            <v>1</v>
          </cell>
          <cell r="N2">
            <v>1</v>
          </cell>
          <cell r="Q2">
            <v>310235478.05778408</v>
          </cell>
          <cell r="T2">
            <v>508471.93442795402</v>
          </cell>
          <cell r="W2">
            <v>3197981.7271437394</v>
          </cell>
        </row>
        <row r="3">
          <cell r="B3">
            <v>5</v>
          </cell>
          <cell r="Q3">
            <v>5</v>
          </cell>
          <cell r="T3">
            <v>16.403103329458006</v>
          </cell>
          <cell r="W3">
            <v>9.4355742285493491</v>
          </cell>
        </row>
        <row r="4">
          <cell r="E4">
            <v>30</v>
          </cell>
          <cell r="H4">
            <v>30</v>
          </cell>
          <cell r="K4">
            <v>30</v>
          </cell>
          <cell r="N4">
            <v>30</v>
          </cell>
          <cell r="Q4">
            <v>11.32</v>
          </cell>
          <cell r="T4">
            <v>1350000</v>
          </cell>
          <cell r="W4">
            <v>1.5822450086592103E-5</v>
          </cell>
        </row>
        <row r="5">
          <cell r="B5">
            <v>2</v>
          </cell>
          <cell r="E5">
            <v>25</v>
          </cell>
          <cell r="H5">
            <v>50</v>
          </cell>
          <cell r="K5">
            <v>50</v>
          </cell>
          <cell r="N5">
            <v>50</v>
          </cell>
          <cell r="Q5">
            <v>0.28499999999999998</v>
          </cell>
          <cell r="T5">
            <v>650.35544785183583</v>
          </cell>
          <cell r="W5">
            <v>117536.20049101896</v>
          </cell>
        </row>
        <row r="6">
          <cell r="E6">
            <v>55</v>
          </cell>
          <cell r="H6">
            <v>55</v>
          </cell>
          <cell r="K6">
            <v>55</v>
          </cell>
          <cell r="N6">
            <v>75</v>
          </cell>
          <cell r="Q6">
            <v>0.25</v>
          </cell>
          <cell r="T6">
            <v>8</v>
          </cell>
          <cell r="W6">
            <v>282139.27938829322</v>
          </cell>
        </row>
        <row r="7">
          <cell r="E7">
            <v>0</v>
          </cell>
          <cell r="H7">
            <v>5</v>
          </cell>
          <cell r="K7">
            <v>2</v>
          </cell>
          <cell r="N7">
            <v>3</v>
          </cell>
          <cell r="Q7">
            <v>57.143694778447667</v>
          </cell>
          <cell r="T7">
            <v>320.05695269028917</v>
          </cell>
          <cell r="W7">
            <v>1604.3679661535591</v>
          </cell>
        </row>
        <row r="8">
          <cell r="E8">
            <v>5</v>
          </cell>
          <cell r="H8">
            <v>0</v>
          </cell>
          <cell r="K8">
            <v>3</v>
          </cell>
          <cell r="N8">
            <v>25</v>
          </cell>
          <cell r="Q8">
            <v>5</v>
          </cell>
          <cell r="T8">
            <v>0.18647414445578231</v>
          </cell>
          <cell r="W8">
            <v>1699.7399999999998</v>
          </cell>
        </row>
        <row r="9">
          <cell r="N9">
            <v>5</v>
          </cell>
          <cell r="Q9">
            <v>15.0235</v>
          </cell>
          <cell r="T9">
            <v>4200</v>
          </cell>
          <cell r="W9">
            <v>29231.284567160626</v>
          </cell>
        </row>
        <row r="10">
          <cell r="N10">
            <v>0</v>
          </cell>
          <cell r="Q10">
            <v>18.252600000000001</v>
          </cell>
          <cell r="T10">
            <v>466.69138625005706</v>
          </cell>
          <cell r="W10">
            <v>20234.3</v>
          </cell>
        </row>
        <row r="11">
          <cell r="Q11">
            <v>207.33869999999999</v>
          </cell>
          <cell r="T11">
            <v>0.14224753452901739</v>
          </cell>
          <cell r="W11">
            <v>20.234999999999999</v>
          </cell>
        </row>
        <row r="12">
          <cell r="T12">
            <v>15</v>
          </cell>
          <cell r="W12">
            <v>20.234999999999999</v>
          </cell>
        </row>
        <row r="13">
          <cell r="T13">
            <v>20</v>
          </cell>
          <cell r="W13">
            <v>5</v>
          </cell>
        </row>
        <row r="14">
          <cell r="T14">
            <v>10</v>
          </cell>
          <cell r="W14">
            <v>5000</v>
          </cell>
        </row>
        <row r="15">
          <cell r="T15">
            <v>5</v>
          </cell>
          <cell r="W15">
            <v>5</v>
          </cell>
        </row>
        <row r="16">
          <cell r="T16">
            <v>0.15</v>
          </cell>
          <cell r="W16">
            <v>5</v>
          </cell>
        </row>
        <row r="17">
          <cell r="T17">
            <v>70</v>
          </cell>
          <cell r="W17">
            <v>5</v>
          </cell>
        </row>
        <row r="18">
          <cell r="T18">
            <v>5</v>
          </cell>
          <cell r="W18">
            <v>5</v>
          </cell>
        </row>
        <row r="19">
          <cell r="T19">
            <v>12.9351</v>
          </cell>
          <cell r="W19">
            <v>5</v>
          </cell>
        </row>
        <row r="20">
          <cell r="T20">
            <v>5.7382999999999997</v>
          </cell>
          <cell r="W20">
            <v>5</v>
          </cell>
        </row>
        <row r="21">
          <cell r="T21">
            <v>71.771100000000004</v>
          </cell>
          <cell r="W21">
            <v>5</v>
          </cell>
        </row>
        <row r="22">
          <cell r="W22">
            <v>5</v>
          </cell>
        </row>
        <row r="23">
          <cell r="W23">
            <v>5</v>
          </cell>
        </row>
        <row r="24">
          <cell r="W24">
            <v>5</v>
          </cell>
        </row>
        <row r="25">
          <cell r="W25">
            <v>5</v>
          </cell>
        </row>
        <row r="26">
          <cell r="W26">
            <v>5</v>
          </cell>
        </row>
        <row r="27">
          <cell r="W27">
            <v>5</v>
          </cell>
        </row>
        <row r="28">
          <cell r="W28">
            <v>5</v>
          </cell>
        </row>
        <row r="29">
          <cell r="W29">
            <v>5</v>
          </cell>
        </row>
        <row r="30">
          <cell r="W30">
            <v>5</v>
          </cell>
        </row>
        <row r="31">
          <cell r="W31">
            <v>2.4538000000000002</v>
          </cell>
        </row>
        <row r="32">
          <cell r="W32">
            <v>17.565999999999999</v>
          </cell>
        </row>
        <row r="33">
          <cell r="W33">
            <v>189.04259999999999</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8672-5423-4459-A1F0-B1038F5B251D}">
  <dimension ref="A1:N26"/>
  <sheetViews>
    <sheetView tabSelected="1" workbookViewId="0">
      <pane xSplit="1" ySplit="2" topLeftCell="B3" activePane="bottomRight" state="frozen"/>
      <selection pane="topRight" activeCell="B1" sqref="B1"/>
      <selection pane="bottomLeft" activeCell="A3" sqref="A3"/>
      <selection pane="bottomRight" activeCell="B3" sqref="B3"/>
    </sheetView>
  </sheetViews>
  <sheetFormatPr defaultRowHeight="12.75"/>
  <cols>
    <col min="1" max="1" width="9.1328125" style="12"/>
    <col min="2" max="2" width="148.3984375" style="9" customWidth="1"/>
    <col min="3" max="257" width="9.1328125" style="12"/>
    <col min="258" max="258" width="118.86328125" style="12" bestFit="1" customWidth="1"/>
    <col min="259" max="513" width="9.1328125" style="12"/>
    <col min="514" max="514" width="118.86328125" style="12" bestFit="1" customWidth="1"/>
    <col min="515" max="769" width="9.1328125" style="12"/>
    <col min="770" max="770" width="118.86328125" style="12" bestFit="1" customWidth="1"/>
    <col min="771" max="1025" width="9.1328125" style="12"/>
    <col min="1026" max="1026" width="118.86328125" style="12" bestFit="1" customWidth="1"/>
    <col min="1027" max="1281" width="9.1328125" style="12"/>
    <col min="1282" max="1282" width="118.86328125" style="12" bestFit="1" customWidth="1"/>
    <col min="1283" max="1537" width="9.1328125" style="12"/>
    <col min="1538" max="1538" width="118.86328125" style="12" bestFit="1" customWidth="1"/>
    <col min="1539" max="1793" width="9.1328125" style="12"/>
    <col min="1794" max="1794" width="118.86328125" style="12" bestFit="1" customWidth="1"/>
    <col min="1795" max="2049" width="9.1328125" style="12"/>
    <col min="2050" max="2050" width="118.86328125" style="12" bestFit="1" customWidth="1"/>
    <col min="2051" max="2305" width="9.1328125" style="12"/>
    <col min="2306" max="2306" width="118.86328125" style="12" bestFit="1" customWidth="1"/>
    <col min="2307" max="2561" width="9.1328125" style="12"/>
    <col min="2562" max="2562" width="118.86328125" style="12" bestFit="1" customWidth="1"/>
    <col min="2563" max="2817" width="9.1328125" style="12"/>
    <col min="2818" max="2818" width="118.86328125" style="12" bestFit="1" customWidth="1"/>
    <col min="2819" max="3073" width="9.1328125" style="12"/>
    <col min="3074" max="3074" width="118.86328125" style="12" bestFit="1" customWidth="1"/>
    <col min="3075" max="3329" width="9.1328125" style="12"/>
    <col min="3330" max="3330" width="118.86328125" style="12" bestFit="1" customWidth="1"/>
    <col min="3331" max="3585" width="9.1328125" style="12"/>
    <col min="3586" max="3586" width="118.86328125" style="12" bestFit="1" customWidth="1"/>
    <col min="3587" max="3841" width="9.1328125" style="12"/>
    <col min="3842" max="3842" width="118.86328125" style="12" bestFit="1" customWidth="1"/>
    <col min="3843" max="4097" width="9.1328125" style="12"/>
    <col min="4098" max="4098" width="118.86328125" style="12" bestFit="1" customWidth="1"/>
    <col min="4099" max="4353" width="9.1328125" style="12"/>
    <col min="4354" max="4354" width="118.86328125" style="12" bestFit="1" customWidth="1"/>
    <col min="4355" max="4609" width="9.1328125" style="12"/>
    <col min="4610" max="4610" width="118.86328125" style="12" bestFit="1" customWidth="1"/>
    <col min="4611" max="4865" width="9.1328125" style="12"/>
    <col min="4866" max="4866" width="118.86328125" style="12" bestFit="1" customWidth="1"/>
    <col min="4867" max="5121" width="9.1328125" style="12"/>
    <col min="5122" max="5122" width="118.86328125" style="12" bestFit="1" customWidth="1"/>
    <col min="5123" max="5377" width="9.1328125" style="12"/>
    <col min="5378" max="5378" width="118.86328125" style="12" bestFit="1" customWidth="1"/>
    <col min="5379" max="5633" width="9.1328125" style="12"/>
    <col min="5634" max="5634" width="118.86328125" style="12" bestFit="1" customWidth="1"/>
    <col min="5635" max="5889" width="9.1328125" style="12"/>
    <col min="5890" max="5890" width="118.86328125" style="12" bestFit="1" customWidth="1"/>
    <col min="5891" max="6145" width="9.1328125" style="12"/>
    <col min="6146" max="6146" width="118.86328125" style="12" bestFit="1" customWidth="1"/>
    <col min="6147" max="6401" width="9.1328125" style="12"/>
    <col min="6402" max="6402" width="118.86328125" style="12" bestFit="1" customWidth="1"/>
    <col min="6403" max="6657" width="9.1328125" style="12"/>
    <col min="6658" max="6658" width="118.86328125" style="12" bestFit="1" customWidth="1"/>
    <col min="6659" max="6913" width="9.1328125" style="12"/>
    <col min="6914" max="6914" width="118.86328125" style="12" bestFit="1" customWidth="1"/>
    <col min="6915" max="7169" width="9.1328125" style="12"/>
    <col min="7170" max="7170" width="118.86328125" style="12" bestFit="1" customWidth="1"/>
    <col min="7171" max="7425" width="9.1328125" style="12"/>
    <col min="7426" max="7426" width="118.86328125" style="12" bestFit="1" customWidth="1"/>
    <col min="7427" max="7681" width="9.1328125" style="12"/>
    <col min="7682" max="7682" width="118.86328125" style="12" bestFit="1" customWidth="1"/>
    <col min="7683" max="7937" width="9.1328125" style="12"/>
    <col min="7938" max="7938" width="118.86328125" style="12" bestFit="1" customWidth="1"/>
    <col min="7939" max="8193" width="9.1328125" style="12"/>
    <col min="8194" max="8194" width="118.86328125" style="12" bestFit="1" customWidth="1"/>
    <col min="8195" max="8449" width="9.1328125" style="12"/>
    <col min="8450" max="8450" width="118.86328125" style="12" bestFit="1" customWidth="1"/>
    <col min="8451" max="8705" width="9.1328125" style="12"/>
    <col min="8706" max="8706" width="118.86328125" style="12" bestFit="1" customWidth="1"/>
    <col min="8707" max="8961" width="9.1328125" style="12"/>
    <col min="8962" max="8962" width="118.86328125" style="12" bestFit="1" customWidth="1"/>
    <col min="8963" max="9217" width="9.1328125" style="12"/>
    <col min="9218" max="9218" width="118.86328125" style="12" bestFit="1" customWidth="1"/>
    <col min="9219" max="9473" width="9.1328125" style="12"/>
    <col min="9474" max="9474" width="118.86328125" style="12" bestFit="1" customWidth="1"/>
    <col min="9475" max="9729" width="9.1328125" style="12"/>
    <col min="9730" max="9730" width="118.86328125" style="12" bestFit="1" customWidth="1"/>
    <col min="9731" max="9985" width="9.1328125" style="12"/>
    <col min="9986" max="9986" width="118.86328125" style="12" bestFit="1" customWidth="1"/>
    <col min="9987" max="10241" width="9.1328125" style="12"/>
    <col min="10242" max="10242" width="118.86328125" style="12" bestFit="1" customWidth="1"/>
    <col min="10243" max="10497" width="9.1328125" style="12"/>
    <col min="10498" max="10498" width="118.86328125" style="12" bestFit="1" customWidth="1"/>
    <col min="10499" max="10753" width="9.1328125" style="12"/>
    <col min="10754" max="10754" width="118.86328125" style="12" bestFit="1" customWidth="1"/>
    <col min="10755" max="11009" width="9.1328125" style="12"/>
    <col min="11010" max="11010" width="118.86328125" style="12" bestFit="1" customWidth="1"/>
    <col min="11011" max="11265" width="9.1328125" style="12"/>
    <col min="11266" max="11266" width="118.86328125" style="12" bestFit="1" customWidth="1"/>
    <col min="11267" max="11521" width="9.1328125" style="12"/>
    <col min="11522" max="11522" width="118.86328125" style="12" bestFit="1" customWidth="1"/>
    <col min="11523" max="11777" width="9.1328125" style="12"/>
    <col min="11778" max="11778" width="118.86328125" style="12" bestFit="1" customWidth="1"/>
    <col min="11779" max="12033" width="9.1328125" style="12"/>
    <col min="12034" max="12034" width="118.86328125" style="12" bestFit="1" customWidth="1"/>
    <col min="12035" max="12289" width="9.1328125" style="12"/>
    <col min="12290" max="12290" width="118.86328125" style="12" bestFit="1" customWidth="1"/>
    <col min="12291" max="12545" width="9.1328125" style="12"/>
    <col min="12546" max="12546" width="118.86328125" style="12" bestFit="1" customWidth="1"/>
    <col min="12547" max="12801" width="9.1328125" style="12"/>
    <col min="12802" max="12802" width="118.86328125" style="12" bestFit="1" customWidth="1"/>
    <col min="12803" max="13057" width="9.1328125" style="12"/>
    <col min="13058" max="13058" width="118.86328125" style="12" bestFit="1" customWidth="1"/>
    <col min="13059" max="13313" width="9.1328125" style="12"/>
    <col min="13314" max="13314" width="118.86328125" style="12" bestFit="1" customWidth="1"/>
    <col min="13315" max="13569" width="9.1328125" style="12"/>
    <col min="13570" max="13570" width="118.86328125" style="12" bestFit="1" customWidth="1"/>
    <col min="13571" max="13825" width="9.1328125" style="12"/>
    <col min="13826" max="13826" width="118.86328125" style="12" bestFit="1" customWidth="1"/>
    <col min="13827" max="14081" width="9.1328125" style="12"/>
    <col min="14082" max="14082" width="118.86328125" style="12" bestFit="1" customWidth="1"/>
    <col min="14083" max="14337" width="9.1328125" style="12"/>
    <col min="14338" max="14338" width="118.86328125" style="12" bestFit="1" customWidth="1"/>
    <col min="14339" max="14593" width="9.1328125" style="12"/>
    <col min="14594" max="14594" width="118.86328125" style="12" bestFit="1" customWidth="1"/>
    <col min="14595" max="14849" width="9.1328125" style="12"/>
    <col min="14850" max="14850" width="118.86328125" style="12" bestFit="1" customWidth="1"/>
    <col min="14851" max="15105" width="9.1328125" style="12"/>
    <col min="15106" max="15106" width="118.86328125" style="12" bestFit="1" customWidth="1"/>
    <col min="15107" max="15361" width="9.1328125" style="12"/>
    <col min="15362" max="15362" width="118.86328125" style="12" bestFit="1" customWidth="1"/>
    <col min="15363" max="15617" width="9.1328125" style="12"/>
    <col min="15618" max="15618" width="118.86328125" style="12" bestFit="1" customWidth="1"/>
    <col min="15619" max="15873" width="9.1328125" style="12"/>
    <col min="15874" max="15874" width="118.86328125" style="12" bestFit="1" customWidth="1"/>
    <col min="15875" max="16129" width="9.1328125" style="12"/>
    <col min="16130" max="16130" width="118.86328125" style="12" bestFit="1" customWidth="1"/>
    <col min="16131" max="16384" width="9.1328125" style="12"/>
  </cols>
  <sheetData>
    <row r="1" spans="1:14" ht="28.15" thickBot="1">
      <c r="A1" s="9"/>
      <c r="B1" s="10" t="s">
        <v>423</v>
      </c>
      <c r="C1" s="11"/>
      <c r="D1" s="11"/>
      <c r="E1" s="11"/>
      <c r="F1" s="11"/>
      <c r="G1" s="11"/>
      <c r="H1" s="11"/>
      <c r="I1" s="11"/>
      <c r="J1" s="11"/>
      <c r="K1" s="11"/>
      <c r="L1" s="11"/>
      <c r="M1" s="11"/>
      <c r="N1" s="11"/>
    </row>
    <row r="2" spans="1:14" ht="45.4" thickBot="1">
      <c r="A2" s="9"/>
      <c r="B2" s="13" t="s">
        <v>424</v>
      </c>
      <c r="C2" s="14"/>
      <c r="D2" s="14"/>
      <c r="E2" s="14"/>
      <c r="F2" s="14"/>
      <c r="G2" s="14"/>
      <c r="H2" s="14"/>
      <c r="I2" s="14"/>
      <c r="J2" s="14"/>
      <c r="K2" s="14"/>
      <c r="L2" s="14"/>
      <c r="M2" s="14"/>
      <c r="N2" s="14"/>
    </row>
    <row r="3" spans="1:14" ht="13.9">
      <c r="A3" s="9"/>
      <c r="B3" s="15"/>
      <c r="C3" s="14"/>
      <c r="D3" s="14"/>
      <c r="E3" s="14"/>
      <c r="F3" s="14"/>
      <c r="G3" s="14"/>
      <c r="H3" s="14"/>
      <c r="I3" s="14"/>
      <c r="J3" s="14"/>
      <c r="K3" s="14"/>
      <c r="L3" s="14"/>
      <c r="M3" s="14"/>
      <c r="N3" s="14"/>
    </row>
    <row r="4" spans="1:14" ht="45">
      <c r="A4" s="9"/>
      <c r="B4" s="16" t="s">
        <v>438</v>
      </c>
      <c r="C4" s="14"/>
      <c r="D4" s="14"/>
      <c r="E4" s="14"/>
      <c r="F4" s="14"/>
      <c r="G4" s="14"/>
      <c r="H4" s="14"/>
      <c r="I4" s="14"/>
      <c r="J4" s="14"/>
      <c r="K4" s="14"/>
      <c r="L4" s="14"/>
      <c r="M4" s="14"/>
      <c r="N4" s="14"/>
    </row>
    <row r="5" spans="1:14">
      <c r="A5" s="9"/>
    </row>
    <row r="6" spans="1:14" ht="15.4" thickBot="1">
      <c r="A6" s="9"/>
      <c r="B6" s="17" t="s">
        <v>425</v>
      </c>
    </row>
    <row r="7" spans="1:14" s="9" customFormat="1" ht="27.75">
      <c r="B7" s="18" t="s">
        <v>472</v>
      </c>
      <c r="C7" s="25"/>
      <c r="D7" s="25"/>
      <c r="E7" s="25"/>
      <c r="F7" s="25"/>
      <c r="G7" s="25"/>
      <c r="H7" s="25"/>
      <c r="I7" s="25"/>
      <c r="J7" s="25"/>
      <c r="K7" s="25"/>
      <c r="L7" s="25"/>
      <c r="M7" s="25"/>
      <c r="N7" s="25"/>
    </row>
    <row r="8" spans="1:14" s="9" customFormat="1" ht="13.9">
      <c r="B8" s="19"/>
    </row>
    <row r="9" spans="1:14" s="9" customFormat="1" ht="13.9">
      <c r="B9" s="20" t="s">
        <v>432</v>
      </c>
    </row>
    <row r="10" spans="1:14" s="9" customFormat="1" ht="13.9">
      <c r="B10" s="20" t="s">
        <v>433</v>
      </c>
    </row>
    <row r="11" spans="1:14" s="9" customFormat="1" ht="13.9">
      <c r="B11" s="20" t="s">
        <v>434</v>
      </c>
    </row>
    <row r="12" spans="1:14" s="9" customFormat="1" ht="13.9">
      <c r="B12" s="20" t="s">
        <v>435</v>
      </c>
    </row>
    <row r="13" spans="1:14" s="9" customFormat="1" ht="13.5">
      <c r="B13" s="20"/>
    </row>
    <row r="14" spans="1:14" s="9" customFormat="1" ht="13.5">
      <c r="B14" s="20" t="s">
        <v>436</v>
      </c>
    </row>
    <row r="15" spans="1:14" s="9" customFormat="1" ht="13.9" thickBot="1">
      <c r="B15" s="26" t="s">
        <v>437</v>
      </c>
    </row>
    <row r="16" spans="1:14" s="9" customFormat="1" ht="13.5">
      <c r="B16" s="27"/>
    </row>
    <row r="17" spans="1:2" ht="15.4" thickBot="1">
      <c r="A17" s="9"/>
      <c r="B17" s="17" t="s">
        <v>426</v>
      </c>
    </row>
    <row r="18" spans="1:2">
      <c r="A18" s="9"/>
      <c r="B18" s="21" t="s">
        <v>427</v>
      </c>
    </row>
    <row r="19" spans="1:2">
      <c r="A19" s="9"/>
      <c r="B19" s="22" t="s">
        <v>428</v>
      </c>
    </row>
    <row r="20" spans="1:2">
      <c r="A20" s="9"/>
      <c r="B20" s="23" t="s">
        <v>429</v>
      </c>
    </row>
    <row r="21" spans="1:2" ht="13.5" thickBot="1">
      <c r="A21" s="9"/>
      <c r="B21" s="24" t="s">
        <v>430</v>
      </c>
    </row>
    <row r="22" spans="1:2">
      <c r="A22" s="9"/>
    </row>
    <row r="23" spans="1:2" ht="15.4" thickBot="1">
      <c r="A23" s="9"/>
      <c r="B23" s="17" t="s">
        <v>431</v>
      </c>
    </row>
    <row r="24" spans="1:2">
      <c r="A24" s="9"/>
      <c r="B24" s="116" t="s">
        <v>474</v>
      </c>
    </row>
    <row r="25" spans="1:2" ht="26.65" thickBot="1">
      <c r="A25" s="9"/>
      <c r="B25" s="115" t="s">
        <v>473</v>
      </c>
    </row>
    <row r="26" spans="1:2">
      <c r="A26" s="9"/>
    </row>
  </sheetData>
  <sheetProtection algorithmName="SHA-512" hashValue="HRWJbgD04ctWsVGf6morUkexiQkhMpleG4VnA1mWWJLO2mxgpxaGikSOriOyW1IPNSvRBkB9ftGLLT6mI5wkCw==" saltValue="CeH+7QzB23zTr2AN+7gLZA==" spinCount="100000" sheet="1" formatColumns="0" formatRows="0"/>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499984740745262"/>
  </sheetPr>
  <dimension ref="A1:R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5.73046875" style="4" bestFit="1" customWidth="1"/>
    <col min="4" max="4" width="18.59765625" style="4" bestFit="1" customWidth="1"/>
    <col min="5" max="5" width="18.3984375" style="4" bestFit="1" customWidth="1"/>
    <col min="6" max="6" width="15.86328125" style="4" bestFit="1" customWidth="1"/>
    <col min="7" max="7" width="17.1328125" style="4" bestFit="1" customWidth="1"/>
    <col min="8" max="8" width="17.265625" style="4" bestFit="1" customWidth="1"/>
    <col min="9" max="9" width="13.1328125" style="4" bestFit="1" customWidth="1"/>
    <col min="10" max="11" width="14.86328125" style="4" bestFit="1" customWidth="1"/>
    <col min="12" max="12" width="16" style="4" bestFit="1" customWidth="1"/>
    <col min="13" max="13" width="13.3984375" style="4" bestFit="1" customWidth="1"/>
    <col min="14" max="14" width="13.1328125" style="4" bestFit="1" customWidth="1"/>
    <col min="15" max="16" width="14.86328125" style="4" bestFit="1" customWidth="1"/>
    <col min="17" max="17" width="16" style="4" bestFit="1" customWidth="1"/>
    <col min="18" max="18" width="13.3984375" style="4" bestFit="1" customWidth="1"/>
    <col min="19" max="249" width="9.1328125" style="4"/>
    <col min="250" max="250" width="15.3984375" style="4" bestFit="1" customWidth="1"/>
    <col min="251" max="251" width="11.1328125" style="4" bestFit="1" customWidth="1"/>
    <col min="252" max="252" width="14.59765625" style="4" bestFit="1" customWidth="1"/>
    <col min="253" max="253" width="17.3984375" style="4" bestFit="1" customWidth="1"/>
    <col min="254" max="254" width="17.59765625" style="4" bestFit="1" customWidth="1"/>
    <col min="255" max="255" width="14.73046875" style="4" bestFit="1" customWidth="1"/>
    <col min="256" max="256" width="14.3984375" style="4" bestFit="1" customWidth="1"/>
    <col min="257" max="257" width="12.1328125" style="4" bestFit="1" customWidth="1"/>
    <col min="258" max="258" width="12.3984375" style="4" bestFit="1" customWidth="1"/>
    <col min="259" max="260" width="13.86328125" style="4" bestFit="1" customWidth="1"/>
    <col min="261" max="261" width="14.86328125" style="4" bestFit="1" customWidth="1"/>
    <col min="262" max="262" width="12.1328125" style="4" bestFit="1" customWidth="1"/>
    <col min="263" max="263" width="12.3984375" style="4" bestFit="1" customWidth="1"/>
    <col min="264" max="265" width="13.86328125" style="4" bestFit="1" customWidth="1"/>
    <col min="266" max="266" width="14.86328125" style="4" bestFit="1" customWidth="1"/>
    <col min="267" max="505" width="9.1328125" style="4"/>
    <col min="506" max="506" width="15.3984375" style="4" bestFit="1" customWidth="1"/>
    <col min="507" max="507" width="11.1328125" style="4" bestFit="1" customWidth="1"/>
    <col min="508" max="508" width="14.59765625" style="4" bestFit="1" customWidth="1"/>
    <col min="509" max="509" width="17.3984375" style="4" bestFit="1" customWidth="1"/>
    <col min="510" max="510" width="17.59765625" style="4" bestFit="1" customWidth="1"/>
    <col min="511" max="511" width="14.73046875" style="4" bestFit="1" customWidth="1"/>
    <col min="512" max="512" width="14.3984375" style="4" bestFit="1" customWidth="1"/>
    <col min="513" max="513" width="12.1328125" style="4" bestFit="1" customWidth="1"/>
    <col min="514" max="514" width="12.3984375" style="4" bestFit="1" customWidth="1"/>
    <col min="515" max="516" width="13.86328125" style="4" bestFit="1" customWidth="1"/>
    <col min="517" max="517" width="14.86328125" style="4" bestFit="1" customWidth="1"/>
    <col min="518" max="518" width="12.1328125" style="4" bestFit="1" customWidth="1"/>
    <col min="519" max="519" width="12.3984375" style="4" bestFit="1" customWidth="1"/>
    <col min="520" max="521" width="13.86328125" style="4" bestFit="1" customWidth="1"/>
    <col min="522" max="522" width="14.86328125" style="4" bestFit="1" customWidth="1"/>
    <col min="523" max="761" width="9.1328125" style="4"/>
    <col min="762" max="762" width="15.3984375" style="4" bestFit="1" customWidth="1"/>
    <col min="763" max="763" width="11.1328125" style="4" bestFit="1" customWidth="1"/>
    <col min="764" max="764" width="14.59765625" style="4" bestFit="1" customWidth="1"/>
    <col min="765" max="765" width="17.3984375" style="4" bestFit="1" customWidth="1"/>
    <col min="766" max="766" width="17.59765625" style="4" bestFit="1" customWidth="1"/>
    <col min="767" max="767" width="14.73046875" style="4" bestFit="1" customWidth="1"/>
    <col min="768" max="768" width="14.3984375" style="4" bestFit="1" customWidth="1"/>
    <col min="769" max="769" width="12.1328125" style="4" bestFit="1" customWidth="1"/>
    <col min="770" max="770" width="12.3984375" style="4" bestFit="1" customWidth="1"/>
    <col min="771" max="772" width="13.86328125" style="4" bestFit="1" customWidth="1"/>
    <col min="773" max="773" width="14.86328125" style="4" bestFit="1" customWidth="1"/>
    <col min="774" max="774" width="12.1328125" style="4" bestFit="1" customWidth="1"/>
    <col min="775" max="775" width="12.3984375" style="4" bestFit="1" customWidth="1"/>
    <col min="776" max="777" width="13.86328125" style="4" bestFit="1" customWidth="1"/>
    <col min="778" max="778" width="14.86328125" style="4" bestFit="1" customWidth="1"/>
    <col min="779" max="1017" width="9.1328125" style="4"/>
    <col min="1018" max="1018" width="15.3984375" style="4" bestFit="1" customWidth="1"/>
    <col min="1019" max="1019" width="11.1328125" style="4" bestFit="1" customWidth="1"/>
    <col min="1020" max="1020" width="14.59765625" style="4" bestFit="1" customWidth="1"/>
    <col min="1021" max="1021" width="17.3984375" style="4" bestFit="1" customWidth="1"/>
    <col min="1022" max="1022" width="17.59765625" style="4" bestFit="1" customWidth="1"/>
    <col min="1023" max="1023" width="14.73046875" style="4" bestFit="1" customWidth="1"/>
    <col min="1024" max="1024" width="14.3984375" style="4" bestFit="1" customWidth="1"/>
    <col min="1025" max="1025" width="12.1328125" style="4" bestFit="1" customWidth="1"/>
    <col min="1026" max="1026" width="12.3984375" style="4" bestFit="1" customWidth="1"/>
    <col min="1027" max="1028" width="13.86328125" style="4" bestFit="1" customWidth="1"/>
    <col min="1029" max="1029" width="14.86328125" style="4" bestFit="1" customWidth="1"/>
    <col min="1030" max="1030" width="12.1328125" style="4" bestFit="1" customWidth="1"/>
    <col min="1031" max="1031" width="12.3984375" style="4" bestFit="1" customWidth="1"/>
    <col min="1032" max="1033" width="13.86328125" style="4" bestFit="1" customWidth="1"/>
    <col min="1034" max="1034" width="14.86328125" style="4" bestFit="1" customWidth="1"/>
    <col min="1035" max="1273" width="9.1328125" style="4"/>
    <col min="1274" max="1274" width="15.3984375" style="4" bestFit="1" customWidth="1"/>
    <col min="1275" max="1275" width="11.1328125" style="4" bestFit="1" customWidth="1"/>
    <col min="1276" max="1276" width="14.59765625" style="4" bestFit="1" customWidth="1"/>
    <col min="1277" max="1277" width="17.3984375" style="4" bestFit="1" customWidth="1"/>
    <col min="1278" max="1278" width="17.59765625" style="4" bestFit="1" customWidth="1"/>
    <col min="1279" max="1279" width="14.73046875" style="4" bestFit="1" customWidth="1"/>
    <col min="1280" max="1280" width="14.3984375" style="4" bestFit="1" customWidth="1"/>
    <col min="1281" max="1281" width="12.1328125" style="4" bestFit="1" customWidth="1"/>
    <col min="1282" max="1282" width="12.3984375" style="4" bestFit="1" customWidth="1"/>
    <col min="1283" max="1284" width="13.86328125" style="4" bestFit="1" customWidth="1"/>
    <col min="1285" max="1285" width="14.86328125" style="4" bestFit="1" customWidth="1"/>
    <col min="1286" max="1286" width="12.1328125" style="4" bestFit="1" customWidth="1"/>
    <col min="1287" max="1287" width="12.3984375" style="4" bestFit="1" customWidth="1"/>
    <col min="1288" max="1289" width="13.86328125" style="4" bestFit="1" customWidth="1"/>
    <col min="1290" max="1290" width="14.86328125" style="4" bestFit="1" customWidth="1"/>
    <col min="1291" max="1529" width="9.1328125" style="4"/>
    <col min="1530" max="1530" width="15.3984375" style="4" bestFit="1" customWidth="1"/>
    <col min="1531" max="1531" width="11.1328125" style="4" bestFit="1" customWidth="1"/>
    <col min="1532" max="1532" width="14.59765625" style="4" bestFit="1" customWidth="1"/>
    <col min="1533" max="1533" width="17.3984375" style="4" bestFit="1" customWidth="1"/>
    <col min="1534" max="1534" width="17.59765625" style="4" bestFit="1" customWidth="1"/>
    <col min="1535" max="1535" width="14.73046875" style="4" bestFit="1" customWidth="1"/>
    <col min="1536" max="1536" width="14.3984375" style="4" bestFit="1" customWidth="1"/>
    <col min="1537" max="1537" width="12.1328125" style="4" bestFit="1" customWidth="1"/>
    <col min="1538" max="1538" width="12.3984375" style="4" bestFit="1" customWidth="1"/>
    <col min="1539" max="1540" width="13.86328125" style="4" bestFit="1" customWidth="1"/>
    <col min="1541" max="1541" width="14.86328125" style="4" bestFit="1" customWidth="1"/>
    <col min="1542" max="1542" width="12.1328125" style="4" bestFit="1" customWidth="1"/>
    <col min="1543" max="1543" width="12.3984375" style="4" bestFit="1" customWidth="1"/>
    <col min="1544" max="1545" width="13.86328125" style="4" bestFit="1" customWidth="1"/>
    <col min="1546" max="1546" width="14.86328125" style="4" bestFit="1" customWidth="1"/>
    <col min="1547" max="1785" width="9.1328125" style="4"/>
    <col min="1786" max="1786" width="15.3984375" style="4" bestFit="1" customWidth="1"/>
    <col min="1787" max="1787" width="11.1328125" style="4" bestFit="1" customWidth="1"/>
    <col min="1788" max="1788" width="14.59765625" style="4" bestFit="1" customWidth="1"/>
    <col min="1789" max="1789" width="17.3984375" style="4" bestFit="1" customWidth="1"/>
    <col min="1790" max="1790" width="17.59765625" style="4" bestFit="1" customWidth="1"/>
    <col min="1791" max="1791" width="14.73046875" style="4" bestFit="1" customWidth="1"/>
    <col min="1792" max="1792" width="14.3984375" style="4" bestFit="1" customWidth="1"/>
    <col min="1793" max="1793" width="12.1328125" style="4" bestFit="1" customWidth="1"/>
    <col min="1794" max="1794" width="12.3984375" style="4" bestFit="1" customWidth="1"/>
    <col min="1795" max="1796" width="13.86328125" style="4" bestFit="1" customWidth="1"/>
    <col min="1797" max="1797" width="14.86328125" style="4" bestFit="1" customWidth="1"/>
    <col min="1798" max="1798" width="12.1328125" style="4" bestFit="1" customWidth="1"/>
    <col min="1799" max="1799" width="12.3984375" style="4" bestFit="1" customWidth="1"/>
    <col min="1800" max="1801" width="13.86328125" style="4" bestFit="1" customWidth="1"/>
    <col min="1802" max="1802" width="14.86328125" style="4" bestFit="1" customWidth="1"/>
    <col min="1803" max="2041" width="9.1328125" style="4"/>
    <col min="2042" max="2042" width="15.3984375" style="4" bestFit="1" customWidth="1"/>
    <col min="2043" max="2043" width="11.1328125" style="4" bestFit="1" customWidth="1"/>
    <col min="2044" max="2044" width="14.59765625" style="4" bestFit="1" customWidth="1"/>
    <col min="2045" max="2045" width="17.3984375" style="4" bestFit="1" customWidth="1"/>
    <col min="2046" max="2046" width="17.59765625" style="4" bestFit="1" customWidth="1"/>
    <col min="2047" max="2047" width="14.73046875" style="4" bestFit="1" customWidth="1"/>
    <col min="2048" max="2048" width="14.3984375" style="4" bestFit="1" customWidth="1"/>
    <col min="2049" max="2049" width="12.1328125" style="4" bestFit="1" customWidth="1"/>
    <col min="2050" max="2050" width="12.3984375" style="4" bestFit="1" customWidth="1"/>
    <col min="2051" max="2052" width="13.86328125" style="4" bestFit="1" customWidth="1"/>
    <col min="2053" max="2053" width="14.86328125" style="4" bestFit="1" customWidth="1"/>
    <col min="2054" max="2054" width="12.1328125" style="4" bestFit="1" customWidth="1"/>
    <col min="2055" max="2055" width="12.3984375" style="4" bestFit="1" customWidth="1"/>
    <col min="2056" max="2057" width="13.86328125" style="4" bestFit="1" customWidth="1"/>
    <col min="2058" max="2058" width="14.86328125" style="4" bestFit="1" customWidth="1"/>
    <col min="2059" max="2297" width="9.1328125" style="4"/>
    <col min="2298" max="2298" width="15.3984375" style="4" bestFit="1" customWidth="1"/>
    <col min="2299" max="2299" width="11.1328125" style="4" bestFit="1" customWidth="1"/>
    <col min="2300" max="2300" width="14.59765625" style="4" bestFit="1" customWidth="1"/>
    <col min="2301" max="2301" width="17.3984375" style="4" bestFit="1" customWidth="1"/>
    <col min="2302" max="2302" width="17.59765625" style="4" bestFit="1" customWidth="1"/>
    <col min="2303" max="2303" width="14.73046875" style="4" bestFit="1" customWidth="1"/>
    <col min="2304" max="2304" width="14.3984375" style="4" bestFit="1" customWidth="1"/>
    <col min="2305" max="2305" width="12.1328125" style="4" bestFit="1" customWidth="1"/>
    <col min="2306" max="2306" width="12.3984375" style="4" bestFit="1" customWidth="1"/>
    <col min="2307" max="2308" width="13.86328125" style="4" bestFit="1" customWidth="1"/>
    <col min="2309" max="2309" width="14.86328125" style="4" bestFit="1" customWidth="1"/>
    <col min="2310" max="2310" width="12.1328125" style="4" bestFit="1" customWidth="1"/>
    <col min="2311" max="2311" width="12.3984375" style="4" bestFit="1" customWidth="1"/>
    <col min="2312" max="2313" width="13.86328125" style="4" bestFit="1" customWidth="1"/>
    <col min="2314" max="2314" width="14.86328125" style="4" bestFit="1" customWidth="1"/>
    <col min="2315" max="2553" width="9.1328125" style="4"/>
    <col min="2554" max="2554" width="15.3984375" style="4" bestFit="1" customWidth="1"/>
    <col min="2555" max="2555" width="11.1328125" style="4" bestFit="1" customWidth="1"/>
    <col min="2556" max="2556" width="14.59765625" style="4" bestFit="1" customWidth="1"/>
    <col min="2557" max="2557" width="17.3984375" style="4" bestFit="1" customWidth="1"/>
    <col min="2558" max="2558" width="17.59765625" style="4" bestFit="1" customWidth="1"/>
    <col min="2559" max="2559" width="14.73046875" style="4" bestFit="1" customWidth="1"/>
    <col min="2560" max="2560" width="14.3984375" style="4" bestFit="1" customWidth="1"/>
    <col min="2561" max="2561" width="12.1328125" style="4" bestFit="1" customWidth="1"/>
    <col min="2562" max="2562" width="12.3984375" style="4" bestFit="1" customWidth="1"/>
    <col min="2563" max="2564" width="13.86328125" style="4" bestFit="1" customWidth="1"/>
    <col min="2565" max="2565" width="14.86328125" style="4" bestFit="1" customWidth="1"/>
    <col min="2566" max="2566" width="12.1328125" style="4" bestFit="1" customWidth="1"/>
    <col min="2567" max="2567" width="12.3984375" style="4" bestFit="1" customWidth="1"/>
    <col min="2568" max="2569" width="13.86328125" style="4" bestFit="1" customWidth="1"/>
    <col min="2570" max="2570" width="14.86328125" style="4" bestFit="1" customWidth="1"/>
    <col min="2571" max="2809" width="9.1328125" style="4"/>
    <col min="2810" max="2810" width="15.3984375" style="4" bestFit="1" customWidth="1"/>
    <col min="2811" max="2811" width="11.1328125" style="4" bestFit="1" customWidth="1"/>
    <col min="2812" max="2812" width="14.59765625" style="4" bestFit="1" customWidth="1"/>
    <col min="2813" max="2813" width="17.3984375" style="4" bestFit="1" customWidth="1"/>
    <col min="2814" max="2814" width="17.59765625" style="4" bestFit="1" customWidth="1"/>
    <col min="2815" max="2815" width="14.73046875" style="4" bestFit="1" customWidth="1"/>
    <col min="2816" max="2816" width="14.3984375" style="4" bestFit="1" customWidth="1"/>
    <col min="2817" max="2817" width="12.1328125" style="4" bestFit="1" customWidth="1"/>
    <col min="2818" max="2818" width="12.3984375" style="4" bestFit="1" customWidth="1"/>
    <col min="2819" max="2820" width="13.86328125" style="4" bestFit="1" customWidth="1"/>
    <col min="2821" max="2821" width="14.86328125" style="4" bestFit="1" customWidth="1"/>
    <col min="2822" max="2822" width="12.1328125" style="4" bestFit="1" customWidth="1"/>
    <col min="2823" max="2823" width="12.3984375" style="4" bestFit="1" customWidth="1"/>
    <col min="2824" max="2825" width="13.86328125" style="4" bestFit="1" customWidth="1"/>
    <col min="2826" max="2826" width="14.86328125" style="4" bestFit="1" customWidth="1"/>
    <col min="2827" max="3065" width="9.1328125" style="4"/>
    <col min="3066" max="3066" width="15.3984375" style="4" bestFit="1" customWidth="1"/>
    <col min="3067" max="3067" width="11.1328125" style="4" bestFit="1" customWidth="1"/>
    <col min="3068" max="3068" width="14.59765625" style="4" bestFit="1" customWidth="1"/>
    <col min="3069" max="3069" width="17.3984375" style="4" bestFit="1" customWidth="1"/>
    <col min="3070" max="3070" width="17.59765625" style="4" bestFit="1" customWidth="1"/>
    <col min="3071" max="3071" width="14.73046875" style="4" bestFit="1" customWidth="1"/>
    <col min="3072" max="3072" width="14.3984375" style="4" bestFit="1" customWidth="1"/>
    <col min="3073" max="3073" width="12.1328125" style="4" bestFit="1" customWidth="1"/>
    <col min="3074" max="3074" width="12.3984375" style="4" bestFit="1" customWidth="1"/>
    <col min="3075" max="3076" width="13.86328125" style="4" bestFit="1" customWidth="1"/>
    <col min="3077" max="3077" width="14.86328125" style="4" bestFit="1" customWidth="1"/>
    <col min="3078" max="3078" width="12.1328125" style="4" bestFit="1" customWidth="1"/>
    <col min="3079" max="3079" width="12.3984375" style="4" bestFit="1" customWidth="1"/>
    <col min="3080" max="3081" width="13.86328125" style="4" bestFit="1" customWidth="1"/>
    <col min="3082" max="3082" width="14.86328125" style="4" bestFit="1" customWidth="1"/>
    <col min="3083" max="3321" width="9.1328125" style="4"/>
    <col min="3322" max="3322" width="15.3984375" style="4" bestFit="1" customWidth="1"/>
    <col min="3323" max="3323" width="11.1328125" style="4" bestFit="1" customWidth="1"/>
    <col min="3324" max="3324" width="14.59765625" style="4" bestFit="1" customWidth="1"/>
    <col min="3325" max="3325" width="17.3984375" style="4" bestFit="1" customWidth="1"/>
    <col min="3326" max="3326" width="17.59765625" style="4" bestFit="1" customWidth="1"/>
    <col min="3327" max="3327" width="14.73046875" style="4" bestFit="1" customWidth="1"/>
    <col min="3328" max="3328" width="14.3984375" style="4" bestFit="1" customWidth="1"/>
    <col min="3329" max="3329" width="12.1328125" style="4" bestFit="1" customWidth="1"/>
    <col min="3330" max="3330" width="12.3984375" style="4" bestFit="1" customWidth="1"/>
    <col min="3331" max="3332" width="13.86328125" style="4" bestFit="1" customWidth="1"/>
    <col min="3333" max="3333" width="14.86328125" style="4" bestFit="1" customWidth="1"/>
    <col min="3334" max="3334" width="12.1328125" style="4" bestFit="1" customWidth="1"/>
    <col min="3335" max="3335" width="12.3984375" style="4" bestFit="1" customWidth="1"/>
    <col min="3336" max="3337" width="13.86328125" style="4" bestFit="1" customWidth="1"/>
    <col min="3338" max="3338" width="14.86328125" style="4" bestFit="1" customWidth="1"/>
    <col min="3339" max="3577" width="9.1328125" style="4"/>
    <col min="3578" max="3578" width="15.3984375" style="4" bestFit="1" customWidth="1"/>
    <col min="3579" max="3579" width="11.1328125" style="4" bestFit="1" customWidth="1"/>
    <col min="3580" max="3580" width="14.59765625" style="4" bestFit="1" customWidth="1"/>
    <col min="3581" max="3581" width="17.3984375" style="4" bestFit="1" customWidth="1"/>
    <col min="3582" max="3582" width="17.59765625" style="4" bestFit="1" customWidth="1"/>
    <col min="3583" max="3583" width="14.73046875" style="4" bestFit="1" customWidth="1"/>
    <col min="3584" max="3584" width="14.3984375" style="4" bestFit="1" customWidth="1"/>
    <col min="3585" max="3585" width="12.1328125" style="4" bestFit="1" customWidth="1"/>
    <col min="3586" max="3586" width="12.3984375" style="4" bestFit="1" customWidth="1"/>
    <col min="3587" max="3588" width="13.86328125" style="4" bestFit="1" customWidth="1"/>
    <col min="3589" max="3589" width="14.86328125" style="4" bestFit="1" customWidth="1"/>
    <col min="3590" max="3590" width="12.1328125" style="4" bestFit="1" customWidth="1"/>
    <col min="3591" max="3591" width="12.3984375" style="4" bestFit="1" customWidth="1"/>
    <col min="3592" max="3593" width="13.86328125" style="4" bestFit="1" customWidth="1"/>
    <col min="3594" max="3594" width="14.86328125" style="4" bestFit="1" customWidth="1"/>
    <col min="3595" max="3833" width="9.1328125" style="4"/>
    <col min="3834" max="3834" width="15.3984375" style="4" bestFit="1" customWidth="1"/>
    <col min="3835" max="3835" width="11.1328125" style="4" bestFit="1" customWidth="1"/>
    <col min="3836" max="3836" width="14.59765625" style="4" bestFit="1" customWidth="1"/>
    <col min="3837" max="3837" width="17.3984375" style="4" bestFit="1" customWidth="1"/>
    <col min="3838" max="3838" width="17.59765625" style="4" bestFit="1" customWidth="1"/>
    <col min="3839" max="3839" width="14.73046875" style="4" bestFit="1" customWidth="1"/>
    <col min="3840" max="3840" width="14.3984375" style="4" bestFit="1" customWidth="1"/>
    <col min="3841" max="3841" width="12.1328125" style="4" bestFit="1" customWidth="1"/>
    <col min="3842" max="3842" width="12.3984375" style="4" bestFit="1" customWidth="1"/>
    <col min="3843" max="3844" width="13.86328125" style="4" bestFit="1" customWidth="1"/>
    <col min="3845" max="3845" width="14.86328125" style="4" bestFit="1" customWidth="1"/>
    <col min="3846" max="3846" width="12.1328125" style="4" bestFit="1" customWidth="1"/>
    <col min="3847" max="3847" width="12.3984375" style="4" bestFit="1" customWidth="1"/>
    <col min="3848" max="3849" width="13.86328125" style="4" bestFit="1" customWidth="1"/>
    <col min="3850" max="3850" width="14.86328125" style="4" bestFit="1" customWidth="1"/>
    <col min="3851" max="4089" width="9.1328125" style="4"/>
    <col min="4090" max="4090" width="15.3984375" style="4" bestFit="1" customWidth="1"/>
    <col min="4091" max="4091" width="11.1328125" style="4" bestFit="1" customWidth="1"/>
    <col min="4092" max="4092" width="14.59765625" style="4" bestFit="1" customWidth="1"/>
    <col min="4093" max="4093" width="17.3984375" style="4" bestFit="1" customWidth="1"/>
    <col min="4094" max="4094" width="17.59765625" style="4" bestFit="1" customWidth="1"/>
    <col min="4095" max="4095" width="14.73046875" style="4" bestFit="1" customWidth="1"/>
    <col min="4096" max="4096" width="14.3984375" style="4" bestFit="1" customWidth="1"/>
    <col min="4097" max="4097" width="12.1328125" style="4" bestFit="1" customWidth="1"/>
    <col min="4098" max="4098" width="12.3984375" style="4" bestFit="1" customWidth="1"/>
    <col min="4099" max="4100" width="13.86328125" style="4" bestFit="1" customWidth="1"/>
    <col min="4101" max="4101" width="14.86328125" style="4" bestFit="1" customWidth="1"/>
    <col min="4102" max="4102" width="12.1328125" style="4" bestFit="1" customWidth="1"/>
    <col min="4103" max="4103" width="12.3984375" style="4" bestFit="1" customWidth="1"/>
    <col min="4104" max="4105" width="13.86328125" style="4" bestFit="1" customWidth="1"/>
    <col min="4106" max="4106" width="14.86328125" style="4" bestFit="1" customWidth="1"/>
    <col min="4107" max="4345" width="9.1328125" style="4"/>
    <col min="4346" max="4346" width="15.3984375" style="4" bestFit="1" customWidth="1"/>
    <col min="4347" max="4347" width="11.1328125" style="4" bestFit="1" customWidth="1"/>
    <col min="4348" max="4348" width="14.59765625" style="4" bestFit="1" customWidth="1"/>
    <col min="4349" max="4349" width="17.3984375" style="4" bestFit="1" customWidth="1"/>
    <col min="4350" max="4350" width="17.59765625" style="4" bestFit="1" customWidth="1"/>
    <col min="4351" max="4351" width="14.73046875" style="4" bestFit="1" customWidth="1"/>
    <col min="4352" max="4352" width="14.3984375" style="4" bestFit="1" customWidth="1"/>
    <col min="4353" max="4353" width="12.1328125" style="4" bestFit="1" customWidth="1"/>
    <col min="4354" max="4354" width="12.3984375" style="4" bestFit="1" customWidth="1"/>
    <col min="4355" max="4356" width="13.86328125" style="4" bestFit="1" customWidth="1"/>
    <col min="4357" max="4357" width="14.86328125" style="4" bestFit="1" customWidth="1"/>
    <col min="4358" max="4358" width="12.1328125" style="4" bestFit="1" customWidth="1"/>
    <col min="4359" max="4359" width="12.3984375" style="4" bestFit="1" customWidth="1"/>
    <col min="4360" max="4361" width="13.86328125" style="4" bestFit="1" customWidth="1"/>
    <col min="4362" max="4362" width="14.86328125" style="4" bestFit="1" customWidth="1"/>
    <col min="4363" max="4601" width="9.1328125" style="4"/>
    <col min="4602" max="4602" width="15.3984375" style="4" bestFit="1" customWidth="1"/>
    <col min="4603" max="4603" width="11.1328125" style="4" bestFit="1" customWidth="1"/>
    <col min="4604" max="4604" width="14.59765625" style="4" bestFit="1" customWidth="1"/>
    <col min="4605" max="4605" width="17.3984375" style="4" bestFit="1" customWidth="1"/>
    <col min="4606" max="4606" width="17.59765625" style="4" bestFit="1" customWidth="1"/>
    <col min="4607" max="4607" width="14.73046875" style="4" bestFit="1" customWidth="1"/>
    <col min="4608" max="4608" width="14.3984375" style="4" bestFit="1" customWidth="1"/>
    <col min="4609" max="4609" width="12.1328125" style="4" bestFit="1" customWidth="1"/>
    <col min="4610" max="4610" width="12.3984375" style="4" bestFit="1" customWidth="1"/>
    <col min="4611" max="4612" width="13.86328125" style="4" bestFit="1" customWidth="1"/>
    <col min="4613" max="4613" width="14.86328125" style="4" bestFit="1" customWidth="1"/>
    <col min="4614" max="4614" width="12.1328125" style="4" bestFit="1" customWidth="1"/>
    <col min="4615" max="4615" width="12.3984375" style="4" bestFit="1" customWidth="1"/>
    <col min="4616" max="4617" width="13.86328125" style="4" bestFit="1" customWidth="1"/>
    <col min="4618" max="4618" width="14.86328125" style="4" bestFit="1" customWidth="1"/>
    <col min="4619" max="4857" width="9.1328125" style="4"/>
    <col min="4858" max="4858" width="15.3984375" style="4" bestFit="1" customWidth="1"/>
    <col min="4859" max="4859" width="11.1328125" style="4" bestFit="1" customWidth="1"/>
    <col min="4860" max="4860" width="14.59765625" style="4" bestFit="1" customWidth="1"/>
    <col min="4861" max="4861" width="17.3984375" style="4" bestFit="1" customWidth="1"/>
    <col min="4862" max="4862" width="17.59765625" style="4" bestFit="1" customWidth="1"/>
    <col min="4863" max="4863" width="14.73046875" style="4" bestFit="1" customWidth="1"/>
    <col min="4864" max="4864" width="14.3984375" style="4" bestFit="1" customWidth="1"/>
    <col min="4865" max="4865" width="12.1328125" style="4" bestFit="1" customWidth="1"/>
    <col min="4866" max="4866" width="12.3984375" style="4" bestFit="1" customWidth="1"/>
    <col min="4867" max="4868" width="13.86328125" style="4" bestFit="1" customWidth="1"/>
    <col min="4869" max="4869" width="14.86328125" style="4" bestFit="1" customWidth="1"/>
    <col min="4870" max="4870" width="12.1328125" style="4" bestFit="1" customWidth="1"/>
    <col min="4871" max="4871" width="12.3984375" style="4" bestFit="1" customWidth="1"/>
    <col min="4872" max="4873" width="13.86328125" style="4" bestFit="1" customWidth="1"/>
    <col min="4874" max="4874" width="14.86328125" style="4" bestFit="1" customWidth="1"/>
    <col min="4875" max="5113" width="9.1328125" style="4"/>
    <col min="5114" max="5114" width="15.3984375" style="4" bestFit="1" customWidth="1"/>
    <col min="5115" max="5115" width="11.1328125" style="4" bestFit="1" customWidth="1"/>
    <col min="5116" max="5116" width="14.59765625" style="4" bestFit="1" customWidth="1"/>
    <col min="5117" max="5117" width="17.3984375" style="4" bestFit="1" customWidth="1"/>
    <col min="5118" max="5118" width="17.59765625" style="4" bestFit="1" customWidth="1"/>
    <col min="5119" max="5119" width="14.73046875" style="4" bestFit="1" customWidth="1"/>
    <col min="5120" max="5120" width="14.3984375" style="4" bestFit="1" customWidth="1"/>
    <col min="5121" max="5121" width="12.1328125" style="4" bestFit="1" customWidth="1"/>
    <col min="5122" max="5122" width="12.3984375" style="4" bestFit="1" customWidth="1"/>
    <col min="5123" max="5124" width="13.86328125" style="4" bestFit="1" customWidth="1"/>
    <col min="5125" max="5125" width="14.86328125" style="4" bestFit="1" customWidth="1"/>
    <col min="5126" max="5126" width="12.1328125" style="4" bestFit="1" customWidth="1"/>
    <col min="5127" max="5127" width="12.3984375" style="4" bestFit="1" customWidth="1"/>
    <col min="5128" max="5129" width="13.86328125" style="4" bestFit="1" customWidth="1"/>
    <col min="5130" max="5130" width="14.86328125" style="4" bestFit="1" customWidth="1"/>
    <col min="5131" max="5369" width="9.1328125" style="4"/>
    <col min="5370" max="5370" width="15.3984375" style="4" bestFit="1" customWidth="1"/>
    <col min="5371" max="5371" width="11.1328125" style="4" bestFit="1" customWidth="1"/>
    <col min="5372" max="5372" width="14.59765625" style="4" bestFit="1" customWidth="1"/>
    <col min="5373" max="5373" width="17.3984375" style="4" bestFit="1" customWidth="1"/>
    <col min="5374" max="5374" width="17.59765625" style="4" bestFit="1" customWidth="1"/>
    <col min="5375" max="5375" width="14.73046875" style="4" bestFit="1" customWidth="1"/>
    <col min="5376" max="5376" width="14.3984375" style="4" bestFit="1" customWidth="1"/>
    <col min="5377" max="5377" width="12.1328125" style="4" bestFit="1" customWidth="1"/>
    <col min="5378" max="5378" width="12.3984375" style="4" bestFit="1" customWidth="1"/>
    <col min="5379" max="5380" width="13.86328125" style="4" bestFit="1" customWidth="1"/>
    <col min="5381" max="5381" width="14.86328125" style="4" bestFit="1" customWidth="1"/>
    <col min="5382" max="5382" width="12.1328125" style="4" bestFit="1" customWidth="1"/>
    <col min="5383" max="5383" width="12.3984375" style="4" bestFit="1" customWidth="1"/>
    <col min="5384" max="5385" width="13.86328125" style="4" bestFit="1" customWidth="1"/>
    <col min="5386" max="5386" width="14.86328125" style="4" bestFit="1" customWidth="1"/>
    <col min="5387" max="5625" width="9.1328125" style="4"/>
    <col min="5626" max="5626" width="15.3984375" style="4" bestFit="1" customWidth="1"/>
    <col min="5627" max="5627" width="11.1328125" style="4" bestFit="1" customWidth="1"/>
    <col min="5628" max="5628" width="14.59765625" style="4" bestFit="1" customWidth="1"/>
    <col min="5629" max="5629" width="17.3984375" style="4" bestFit="1" customWidth="1"/>
    <col min="5630" max="5630" width="17.59765625" style="4" bestFit="1" customWidth="1"/>
    <col min="5631" max="5631" width="14.73046875" style="4" bestFit="1" customWidth="1"/>
    <col min="5632" max="5632" width="14.3984375" style="4" bestFit="1" customWidth="1"/>
    <col min="5633" max="5633" width="12.1328125" style="4" bestFit="1" customWidth="1"/>
    <col min="5634" max="5634" width="12.3984375" style="4" bestFit="1" customWidth="1"/>
    <col min="5635" max="5636" width="13.86328125" style="4" bestFit="1" customWidth="1"/>
    <col min="5637" max="5637" width="14.86328125" style="4" bestFit="1" customWidth="1"/>
    <col min="5638" max="5638" width="12.1328125" style="4" bestFit="1" customWidth="1"/>
    <col min="5639" max="5639" width="12.3984375" style="4" bestFit="1" customWidth="1"/>
    <col min="5640" max="5641" width="13.86328125" style="4" bestFit="1" customWidth="1"/>
    <col min="5642" max="5642" width="14.86328125" style="4" bestFit="1" customWidth="1"/>
    <col min="5643" max="5881" width="9.1328125" style="4"/>
    <col min="5882" max="5882" width="15.3984375" style="4" bestFit="1" customWidth="1"/>
    <col min="5883" max="5883" width="11.1328125" style="4" bestFit="1" customWidth="1"/>
    <col min="5884" max="5884" width="14.59765625" style="4" bestFit="1" customWidth="1"/>
    <col min="5885" max="5885" width="17.3984375" style="4" bestFit="1" customWidth="1"/>
    <col min="5886" max="5886" width="17.59765625" style="4" bestFit="1" customWidth="1"/>
    <col min="5887" max="5887" width="14.73046875" style="4" bestFit="1" customWidth="1"/>
    <col min="5888" max="5888" width="14.3984375" style="4" bestFit="1" customWidth="1"/>
    <col min="5889" max="5889" width="12.1328125" style="4" bestFit="1" customWidth="1"/>
    <col min="5890" max="5890" width="12.3984375" style="4" bestFit="1" customWidth="1"/>
    <col min="5891" max="5892" width="13.86328125" style="4" bestFit="1" customWidth="1"/>
    <col min="5893" max="5893" width="14.86328125" style="4" bestFit="1" customWidth="1"/>
    <col min="5894" max="5894" width="12.1328125" style="4" bestFit="1" customWidth="1"/>
    <col min="5895" max="5895" width="12.3984375" style="4" bestFit="1" customWidth="1"/>
    <col min="5896" max="5897" width="13.86328125" style="4" bestFit="1" customWidth="1"/>
    <col min="5898" max="5898" width="14.86328125" style="4" bestFit="1" customWidth="1"/>
    <col min="5899" max="6137" width="9.1328125" style="4"/>
    <col min="6138" max="6138" width="15.3984375" style="4" bestFit="1" customWidth="1"/>
    <col min="6139" max="6139" width="11.1328125" style="4" bestFit="1" customWidth="1"/>
    <col min="6140" max="6140" width="14.59765625" style="4" bestFit="1" customWidth="1"/>
    <col min="6141" max="6141" width="17.3984375" style="4" bestFit="1" customWidth="1"/>
    <col min="6142" max="6142" width="17.59765625" style="4" bestFit="1" customWidth="1"/>
    <col min="6143" max="6143" width="14.73046875" style="4" bestFit="1" customWidth="1"/>
    <col min="6144" max="6144" width="14.3984375" style="4" bestFit="1" customWidth="1"/>
    <col min="6145" max="6145" width="12.1328125" style="4" bestFit="1" customWidth="1"/>
    <col min="6146" max="6146" width="12.3984375" style="4" bestFit="1" customWidth="1"/>
    <col min="6147" max="6148" width="13.86328125" style="4" bestFit="1" customWidth="1"/>
    <col min="6149" max="6149" width="14.86328125" style="4" bestFit="1" customWidth="1"/>
    <col min="6150" max="6150" width="12.1328125" style="4" bestFit="1" customWidth="1"/>
    <col min="6151" max="6151" width="12.3984375" style="4" bestFit="1" customWidth="1"/>
    <col min="6152" max="6153" width="13.86328125" style="4" bestFit="1" customWidth="1"/>
    <col min="6154" max="6154" width="14.86328125" style="4" bestFit="1" customWidth="1"/>
    <col min="6155" max="6393" width="9.1328125" style="4"/>
    <col min="6394" max="6394" width="15.3984375" style="4" bestFit="1" customWidth="1"/>
    <col min="6395" max="6395" width="11.1328125" style="4" bestFit="1" customWidth="1"/>
    <col min="6396" max="6396" width="14.59765625" style="4" bestFit="1" customWidth="1"/>
    <col min="6397" max="6397" width="17.3984375" style="4" bestFit="1" customWidth="1"/>
    <col min="6398" max="6398" width="17.59765625" style="4" bestFit="1" customWidth="1"/>
    <col min="6399" max="6399" width="14.73046875" style="4" bestFit="1" customWidth="1"/>
    <col min="6400" max="6400" width="14.3984375" style="4" bestFit="1" customWidth="1"/>
    <col min="6401" max="6401" width="12.1328125" style="4" bestFit="1" customWidth="1"/>
    <col min="6402" max="6402" width="12.3984375" style="4" bestFit="1" customWidth="1"/>
    <col min="6403" max="6404" width="13.86328125" style="4" bestFit="1" customWidth="1"/>
    <col min="6405" max="6405" width="14.86328125" style="4" bestFit="1" customWidth="1"/>
    <col min="6406" max="6406" width="12.1328125" style="4" bestFit="1" customWidth="1"/>
    <col min="6407" max="6407" width="12.3984375" style="4" bestFit="1" customWidth="1"/>
    <col min="6408" max="6409" width="13.86328125" style="4" bestFit="1" customWidth="1"/>
    <col min="6410" max="6410" width="14.86328125" style="4" bestFit="1" customWidth="1"/>
    <col min="6411" max="6649" width="9.1328125" style="4"/>
    <col min="6650" max="6650" width="15.3984375" style="4" bestFit="1" customWidth="1"/>
    <col min="6651" max="6651" width="11.1328125" style="4" bestFit="1" customWidth="1"/>
    <col min="6652" max="6652" width="14.59765625" style="4" bestFit="1" customWidth="1"/>
    <col min="6653" max="6653" width="17.3984375" style="4" bestFit="1" customWidth="1"/>
    <col min="6654" max="6654" width="17.59765625" style="4" bestFit="1" customWidth="1"/>
    <col min="6655" max="6655" width="14.73046875" style="4" bestFit="1" customWidth="1"/>
    <col min="6656" max="6656" width="14.3984375" style="4" bestFit="1" customWidth="1"/>
    <col min="6657" max="6657" width="12.1328125" style="4" bestFit="1" customWidth="1"/>
    <col min="6658" max="6658" width="12.3984375" style="4" bestFit="1" customWidth="1"/>
    <col min="6659" max="6660" width="13.86328125" style="4" bestFit="1" customWidth="1"/>
    <col min="6661" max="6661" width="14.86328125" style="4" bestFit="1" customWidth="1"/>
    <col min="6662" max="6662" width="12.1328125" style="4" bestFit="1" customWidth="1"/>
    <col min="6663" max="6663" width="12.3984375" style="4" bestFit="1" customWidth="1"/>
    <col min="6664" max="6665" width="13.86328125" style="4" bestFit="1" customWidth="1"/>
    <col min="6666" max="6666" width="14.86328125" style="4" bestFit="1" customWidth="1"/>
    <col min="6667" max="6905" width="9.1328125" style="4"/>
    <col min="6906" max="6906" width="15.3984375" style="4" bestFit="1" customWidth="1"/>
    <col min="6907" max="6907" width="11.1328125" style="4" bestFit="1" customWidth="1"/>
    <col min="6908" max="6908" width="14.59765625" style="4" bestFit="1" customWidth="1"/>
    <col min="6909" max="6909" width="17.3984375" style="4" bestFit="1" customWidth="1"/>
    <col min="6910" max="6910" width="17.59765625" style="4" bestFit="1" customWidth="1"/>
    <col min="6911" max="6911" width="14.73046875" style="4" bestFit="1" customWidth="1"/>
    <col min="6912" max="6912" width="14.3984375" style="4" bestFit="1" customWidth="1"/>
    <col min="6913" max="6913" width="12.1328125" style="4" bestFit="1" customWidth="1"/>
    <col min="6914" max="6914" width="12.3984375" style="4" bestFit="1" customWidth="1"/>
    <col min="6915" max="6916" width="13.86328125" style="4" bestFit="1" customWidth="1"/>
    <col min="6917" max="6917" width="14.86328125" style="4" bestFit="1" customWidth="1"/>
    <col min="6918" max="6918" width="12.1328125" style="4" bestFit="1" customWidth="1"/>
    <col min="6919" max="6919" width="12.3984375" style="4" bestFit="1" customWidth="1"/>
    <col min="6920" max="6921" width="13.86328125" style="4" bestFit="1" customWidth="1"/>
    <col min="6922" max="6922" width="14.86328125" style="4" bestFit="1" customWidth="1"/>
    <col min="6923" max="7161" width="9.1328125" style="4"/>
    <col min="7162" max="7162" width="15.3984375" style="4" bestFit="1" customWidth="1"/>
    <col min="7163" max="7163" width="11.1328125" style="4" bestFit="1" customWidth="1"/>
    <col min="7164" max="7164" width="14.59765625" style="4" bestFit="1" customWidth="1"/>
    <col min="7165" max="7165" width="17.3984375" style="4" bestFit="1" customWidth="1"/>
    <col min="7166" max="7166" width="17.59765625" style="4" bestFit="1" customWidth="1"/>
    <col min="7167" max="7167" width="14.73046875" style="4" bestFit="1" customWidth="1"/>
    <col min="7168" max="7168" width="14.3984375" style="4" bestFit="1" customWidth="1"/>
    <col min="7169" max="7169" width="12.1328125" style="4" bestFit="1" customWidth="1"/>
    <col min="7170" max="7170" width="12.3984375" style="4" bestFit="1" customWidth="1"/>
    <col min="7171" max="7172" width="13.86328125" style="4" bestFit="1" customWidth="1"/>
    <col min="7173" max="7173" width="14.86328125" style="4" bestFit="1" customWidth="1"/>
    <col min="7174" max="7174" width="12.1328125" style="4" bestFit="1" customWidth="1"/>
    <col min="7175" max="7175" width="12.3984375" style="4" bestFit="1" customWidth="1"/>
    <col min="7176" max="7177" width="13.86328125" style="4" bestFit="1" customWidth="1"/>
    <col min="7178" max="7178" width="14.86328125" style="4" bestFit="1" customWidth="1"/>
    <col min="7179" max="7417" width="9.1328125" style="4"/>
    <col min="7418" max="7418" width="15.3984375" style="4" bestFit="1" customWidth="1"/>
    <col min="7419" max="7419" width="11.1328125" style="4" bestFit="1" customWidth="1"/>
    <col min="7420" max="7420" width="14.59765625" style="4" bestFit="1" customWidth="1"/>
    <col min="7421" max="7421" width="17.3984375" style="4" bestFit="1" customWidth="1"/>
    <col min="7422" max="7422" width="17.59765625" style="4" bestFit="1" customWidth="1"/>
    <col min="7423" max="7423" width="14.73046875" style="4" bestFit="1" customWidth="1"/>
    <col min="7424" max="7424" width="14.3984375" style="4" bestFit="1" customWidth="1"/>
    <col min="7425" max="7425" width="12.1328125" style="4" bestFit="1" customWidth="1"/>
    <col min="7426" max="7426" width="12.3984375" style="4" bestFit="1" customWidth="1"/>
    <col min="7427" max="7428" width="13.86328125" style="4" bestFit="1" customWidth="1"/>
    <col min="7429" max="7429" width="14.86328125" style="4" bestFit="1" customWidth="1"/>
    <col min="7430" max="7430" width="12.1328125" style="4" bestFit="1" customWidth="1"/>
    <col min="7431" max="7431" width="12.3984375" style="4" bestFit="1" customWidth="1"/>
    <col min="7432" max="7433" width="13.86328125" style="4" bestFit="1" customWidth="1"/>
    <col min="7434" max="7434" width="14.86328125" style="4" bestFit="1" customWidth="1"/>
    <col min="7435" max="7673" width="9.1328125" style="4"/>
    <col min="7674" max="7674" width="15.3984375" style="4" bestFit="1" customWidth="1"/>
    <col min="7675" max="7675" width="11.1328125" style="4" bestFit="1" customWidth="1"/>
    <col min="7676" max="7676" width="14.59765625" style="4" bestFit="1" customWidth="1"/>
    <col min="7677" max="7677" width="17.3984375" style="4" bestFit="1" customWidth="1"/>
    <col min="7678" max="7678" width="17.59765625" style="4" bestFit="1" customWidth="1"/>
    <col min="7679" max="7679" width="14.73046875" style="4" bestFit="1" customWidth="1"/>
    <col min="7680" max="7680" width="14.3984375" style="4" bestFit="1" customWidth="1"/>
    <col min="7681" max="7681" width="12.1328125" style="4" bestFit="1" customWidth="1"/>
    <col min="7682" max="7682" width="12.3984375" style="4" bestFit="1" customWidth="1"/>
    <col min="7683" max="7684" width="13.86328125" style="4" bestFit="1" customWidth="1"/>
    <col min="7685" max="7685" width="14.86328125" style="4" bestFit="1" customWidth="1"/>
    <col min="7686" max="7686" width="12.1328125" style="4" bestFit="1" customWidth="1"/>
    <col min="7687" max="7687" width="12.3984375" style="4" bestFit="1" customWidth="1"/>
    <col min="7688" max="7689" width="13.86328125" style="4" bestFit="1" customWidth="1"/>
    <col min="7690" max="7690" width="14.86328125" style="4" bestFit="1" customWidth="1"/>
    <col min="7691" max="7929" width="9.1328125" style="4"/>
    <col min="7930" max="7930" width="15.3984375" style="4" bestFit="1" customWidth="1"/>
    <col min="7931" max="7931" width="11.1328125" style="4" bestFit="1" customWidth="1"/>
    <col min="7932" max="7932" width="14.59765625" style="4" bestFit="1" customWidth="1"/>
    <col min="7933" max="7933" width="17.3984375" style="4" bestFit="1" customWidth="1"/>
    <col min="7934" max="7934" width="17.59765625" style="4" bestFit="1" customWidth="1"/>
    <col min="7935" max="7935" width="14.73046875" style="4" bestFit="1" customWidth="1"/>
    <col min="7936" max="7936" width="14.3984375" style="4" bestFit="1" customWidth="1"/>
    <col min="7937" max="7937" width="12.1328125" style="4" bestFit="1" customWidth="1"/>
    <col min="7938" max="7938" width="12.3984375" style="4" bestFit="1" customWidth="1"/>
    <col min="7939" max="7940" width="13.86328125" style="4" bestFit="1" customWidth="1"/>
    <col min="7941" max="7941" width="14.86328125" style="4" bestFit="1" customWidth="1"/>
    <col min="7942" max="7942" width="12.1328125" style="4" bestFit="1" customWidth="1"/>
    <col min="7943" max="7943" width="12.3984375" style="4" bestFit="1" customWidth="1"/>
    <col min="7944" max="7945" width="13.86328125" style="4" bestFit="1" customWidth="1"/>
    <col min="7946" max="7946" width="14.86328125" style="4" bestFit="1" customWidth="1"/>
    <col min="7947" max="8185" width="9.1328125" style="4"/>
    <col min="8186" max="8186" width="15.3984375" style="4" bestFit="1" customWidth="1"/>
    <col min="8187" max="8187" width="11.1328125" style="4" bestFit="1" customWidth="1"/>
    <col min="8188" max="8188" width="14.59765625" style="4" bestFit="1" customWidth="1"/>
    <col min="8189" max="8189" width="17.3984375" style="4" bestFit="1" customWidth="1"/>
    <col min="8190" max="8190" width="17.59765625" style="4" bestFit="1" customWidth="1"/>
    <col min="8191" max="8191" width="14.73046875" style="4" bestFit="1" customWidth="1"/>
    <col min="8192" max="8192" width="14.3984375" style="4" bestFit="1" customWidth="1"/>
    <col min="8193" max="8193" width="12.1328125" style="4" bestFit="1" customWidth="1"/>
    <col min="8194" max="8194" width="12.3984375" style="4" bestFit="1" customWidth="1"/>
    <col min="8195" max="8196" width="13.86328125" style="4" bestFit="1" customWidth="1"/>
    <col min="8197" max="8197" width="14.86328125" style="4" bestFit="1" customWidth="1"/>
    <col min="8198" max="8198" width="12.1328125" style="4" bestFit="1" customWidth="1"/>
    <col min="8199" max="8199" width="12.3984375" style="4" bestFit="1" customWidth="1"/>
    <col min="8200" max="8201" width="13.86328125" style="4" bestFit="1" customWidth="1"/>
    <col min="8202" max="8202" width="14.86328125" style="4" bestFit="1" customWidth="1"/>
    <col min="8203" max="8441" width="9.1328125" style="4"/>
    <col min="8442" max="8442" width="15.3984375" style="4" bestFit="1" customWidth="1"/>
    <col min="8443" max="8443" width="11.1328125" style="4" bestFit="1" customWidth="1"/>
    <col min="8444" max="8444" width="14.59765625" style="4" bestFit="1" customWidth="1"/>
    <col min="8445" max="8445" width="17.3984375" style="4" bestFit="1" customWidth="1"/>
    <col min="8446" max="8446" width="17.59765625" style="4" bestFit="1" customWidth="1"/>
    <col min="8447" max="8447" width="14.73046875" style="4" bestFit="1" customWidth="1"/>
    <col min="8448" max="8448" width="14.3984375" style="4" bestFit="1" customWidth="1"/>
    <col min="8449" max="8449" width="12.1328125" style="4" bestFit="1" customWidth="1"/>
    <col min="8450" max="8450" width="12.3984375" style="4" bestFit="1" customWidth="1"/>
    <col min="8451" max="8452" width="13.86328125" style="4" bestFit="1" customWidth="1"/>
    <col min="8453" max="8453" width="14.86328125" style="4" bestFit="1" customWidth="1"/>
    <col min="8454" max="8454" width="12.1328125" style="4" bestFit="1" customWidth="1"/>
    <col min="8455" max="8455" width="12.3984375" style="4" bestFit="1" customWidth="1"/>
    <col min="8456" max="8457" width="13.86328125" style="4" bestFit="1" customWidth="1"/>
    <col min="8458" max="8458" width="14.86328125" style="4" bestFit="1" customWidth="1"/>
    <col min="8459" max="8697" width="9.1328125" style="4"/>
    <col min="8698" max="8698" width="15.3984375" style="4" bestFit="1" customWidth="1"/>
    <col min="8699" max="8699" width="11.1328125" style="4" bestFit="1" customWidth="1"/>
    <col min="8700" max="8700" width="14.59765625" style="4" bestFit="1" customWidth="1"/>
    <col min="8701" max="8701" width="17.3984375" style="4" bestFit="1" customWidth="1"/>
    <col min="8702" max="8702" width="17.59765625" style="4" bestFit="1" customWidth="1"/>
    <col min="8703" max="8703" width="14.73046875" style="4" bestFit="1" customWidth="1"/>
    <col min="8704" max="8704" width="14.3984375" style="4" bestFit="1" customWidth="1"/>
    <col min="8705" max="8705" width="12.1328125" style="4" bestFit="1" customWidth="1"/>
    <col min="8706" max="8706" width="12.3984375" style="4" bestFit="1" customWidth="1"/>
    <col min="8707" max="8708" width="13.86328125" style="4" bestFit="1" customWidth="1"/>
    <col min="8709" max="8709" width="14.86328125" style="4" bestFit="1" customWidth="1"/>
    <col min="8710" max="8710" width="12.1328125" style="4" bestFit="1" customWidth="1"/>
    <col min="8711" max="8711" width="12.3984375" style="4" bestFit="1" customWidth="1"/>
    <col min="8712" max="8713" width="13.86328125" style="4" bestFit="1" customWidth="1"/>
    <col min="8714" max="8714" width="14.86328125" style="4" bestFit="1" customWidth="1"/>
    <col min="8715" max="8953" width="9.1328125" style="4"/>
    <col min="8954" max="8954" width="15.3984375" style="4" bestFit="1" customWidth="1"/>
    <col min="8955" max="8955" width="11.1328125" style="4" bestFit="1" customWidth="1"/>
    <col min="8956" max="8956" width="14.59765625" style="4" bestFit="1" customWidth="1"/>
    <col min="8957" max="8957" width="17.3984375" style="4" bestFit="1" customWidth="1"/>
    <col min="8958" max="8958" width="17.59765625" style="4" bestFit="1" customWidth="1"/>
    <col min="8959" max="8959" width="14.73046875" style="4" bestFit="1" customWidth="1"/>
    <col min="8960" max="8960" width="14.3984375" style="4" bestFit="1" customWidth="1"/>
    <col min="8961" max="8961" width="12.1328125" style="4" bestFit="1" customWidth="1"/>
    <col min="8962" max="8962" width="12.3984375" style="4" bestFit="1" customWidth="1"/>
    <col min="8963" max="8964" width="13.86328125" style="4" bestFit="1" customWidth="1"/>
    <col min="8965" max="8965" width="14.86328125" style="4" bestFit="1" customWidth="1"/>
    <col min="8966" max="8966" width="12.1328125" style="4" bestFit="1" customWidth="1"/>
    <col min="8967" max="8967" width="12.3984375" style="4" bestFit="1" customWidth="1"/>
    <col min="8968" max="8969" width="13.86328125" style="4" bestFit="1" customWidth="1"/>
    <col min="8970" max="8970" width="14.86328125" style="4" bestFit="1" customWidth="1"/>
    <col min="8971" max="9209" width="9.1328125" style="4"/>
    <col min="9210" max="9210" width="15.3984375" style="4" bestFit="1" customWidth="1"/>
    <col min="9211" max="9211" width="11.1328125" style="4" bestFit="1" customWidth="1"/>
    <col min="9212" max="9212" width="14.59765625" style="4" bestFit="1" customWidth="1"/>
    <col min="9213" max="9213" width="17.3984375" style="4" bestFit="1" customWidth="1"/>
    <col min="9214" max="9214" width="17.59765625" style="4" bestFit="1" customWidth="1"/>
    <col min="9215" max="9215" width="14.73046875" style="4" bestFit="1" customWidth="1"/>
    <col min="9216" max="9216" width="14.3984375" style="4" bestFit="1" customWidth="1"/>
    <col min="9217" max="9217" width="12.1328125" style="4" bestFit="1" customWidth="1"/>
    <col min="9218" max="9218" width="12.3984375" style="4" bestFit="1" customWidth="1"/>
    <col min="9219" max="9220" width="13.86328125" style="4" bestFit="1" customWidth="1"/>
    <col min="9221" max="9221" width="14.86328125" style="4" bestFit="1" customWidth="1"/>
    <col min="9222" max="9222" width="12.1328125" style="4" bestFit="1" customWidth="1"/>
    <col min="9223" max="9223" width="12.3984375" style="4" bestFit="1" customWidth="1"/>
    <col min="9224" max="9225" width="13.86328125" style="4" bestFit="1" customWidth="1"/>
    <col min="9226" max="9226" width="14.86328125" style="4" bestFit="1" customWidth="1"/>
    <col min="9227" max="9465" width="9.1328125" style="4"/>
    <col min="9466" max="9466" width="15.3984375" style="4" bestFit="1" customWidth="1"/>
    <col min="9467" max="9467" width="11.1328125" style="4" bestFit="1" customWidth="1"/>
    <col min="9468" max="9468" width="14.59765625" style="4" bestFit="1" customWidth="1"/>
    <col min="9469" max="9469" width="17.3984375" style="4" bestFit="1" customWidth="1"/>
    <col min="9470" max="9470" width="17.59765625" style="4" bestFit="1" customWidth="1"/>
    <col min="9471" max="9471" width="14.73046875" style="4" bestFit="1" customWidth="1"/>
    <col min="9472" max="9472" width="14.3984375" style="4" bestFit="1" customWidth="1"/>
    <col min="9473" max="9473" width="12.1328125" style="4" bestFit="1" customWidth="1"/>
    <col min="9474" max="9474" width="12.3984375" style="4" bestFit="1" customWidth="1"/>
    <col min="9475" max="9476" width="13.86328125" style="4" bestFit="1" customWidth="1"/>
    <col min="9477" max="9477" width="14.86328125" style="4" bestFit="1" customWidth="1"/>
    <col min="9478" max="9478" width="12.1328125" style="4" bestFit="1" customWidth="1"/>
    <col min="9479" max="9479" width="12.3984375" style="4" bestFit="1" customWidth="1"/>
    <col min="9480" max="9481" width="13.86328125" style="4" bestFit="1" customWidth="1"/>
    <col min="9482" max="9482" width="14.86328125" style="4" bestFit="1" customWidth="1"/>
    <col min="9483" max="9721" width="9.1328125" style="4"/>
    <col min="9722" max="9722" width="15.3984375" style="4" bestFit="1" customWidth="1"/>
    <col min="9723" max="9723" width="11.1328125" style="4" bestFit="1" customWidth="1"/>
    <col min="9724" max="9724" width="14.59765625" style="4" bestFit="1" customWidth="1"/>
    <col min="9725" max="9725" width="17.3984375" style="4" bestFit="1" customWidth="1"/>
    <col min="9726" max="9726" width="17.59765625" style="4" bestFit="1" customWidth="1"/>
    <col min="9727" max="9727" width="14.73046875" style="4" bestFit="1" customWidth="1"/>
    <col min="9728" max="9728" width="14.3984375" style="4" bestFit="1" customWidth="1"/>
    <col min="9729" max="9729" width="12.1328125" style="4" bestFit="1" customWidth="1"/>
    <col min="9730" max="9730" width="12.3984375" style="4" bestFit="1" customWidth="1"/>
    <col min="9731" max="9732" width="13.86328125" style="4" bestFit="1" customWidth="1"/>
    <col min="9733" max="9733" width="14.86328125" style="4" bestFit="1" customWidth="1"/>
    <col min="9734" max="9734" width="12.1328125" style="4" bestFit="1" customWidth="1"/>
    <col min="9735" max="9735" width="12.3984375" style="4" bestFit="1" customWidth="1"/>
    <col min="9736" max="9737" width="13.86328125" style="4" bestFit="1" customWidth="1"/>
    <col min="9738" max="9738" width="14.86328125" style="4" bestFit="1" customWidth="1"/>
    <col min="9739" max="9977" width="9.1328125" style="4"/>
    <col min="9978" max="9978" width="15.3984375" style="4" bestFit="1" customWidth="1"/>
    <col min="9979" max="9979" width="11.1328125" style="4" bestFit="1" customWidth="1"/>
    <col min="9980" max="9980" width="14.59765625" style="4" bestFit="1" customWidth="1"/>
    <col min="9981" max="9981" width="17.3984375" style="4" bestFit="1" customWidth="1"/>
    <col min="9982" max="9982" width="17.59765625" style="4" bestFit="1" customWidth="1"/>
    <col min="9983" max="9983" width="14.73046875" style="4" bestFit="1" customWidth="1"/>
    <col min="9984" max="9984" width="14.3984375" style="4" bestFit="1" customWidth="1"/>
    <col min="9985" max="9985" width="12.1328125" style="4" bestFit="1" customWidth="1"/>
    <col min="9986" max="9986" width="12.3984375" style="4" bestFit="1" customWidth="1"/>
    <col min="9987" max="9988" width="13.86328125" style="4" bestFit="1" customWidth="1"/>
    <col min="9989" max="9989" width="14.86328125" style="4" bestFit="1" customWidth="1"/>
    <col min="9990" max="9990" width="12.1328125" style="4" bestFit="1" customWidth="1"/>
    <col min="9991" max="9991" width="12.3984375" style="4" bestFit="1" customWidth="1"/>
    <col min="9992" max="9993" width="13.86328125" style="4" bestFit="1" customWidth="1"/>
    <col min="9994" max="9994" width="14.86328125" style="4" bestFit="1" customWidth="1"/>
    <col min="9995" max="10233" width="9.1328125" style="4"/>
    <col min="10234" max="10234" width="15.3984375" style="4" bestFit="1" customWidth="1"/>
    <col min="10235" max="10235" width="11.1328125" style="4" bestFit="1" customWidth="1"/>
    <col min="10236" max="10236" width="14.59765625" style="4" bestFit="1" customWidth="1"/>
    <col min="10237" max="10237" width="17.3984375" style="4" bestFit="1" customWidth="1"/>
    <col min="10238" max="10238" width="17.59765625" style="4" bestFit="1" customWidth="1"/>
    <col min="10239" max="10239" width="14.73046875" style="4" bestFit="1" customWidth="1"/>
    <col min="10240" max="10240" width="14.3984375" style="4" bestFit="1" customWidth="1"/>
    <col min="10241" max="10241" width="12.1328125" style="4" bestFit="1" customWidth="1"/>
    <col min="10242" max="10242" width="12.3984375" style="4" bestFit="1" customWidth="1"/>
    <col min="10243" max="10244" width="13.86328125" style="4" bestFit="1" customWidth="1"/>
    <col min="10245" max="10245" width="14.86328125" style="4" bestFit="1" customWidth="1"/>
    <col min="10246" max="10246" width="12.1328125" style="4" bestFit="1" customWidth="1"/>
    <col min="10247" max="10247" width="12.3984375" style="4" bestFit="1" customWidth="1"/>
    <col min="10248" max="10249" width="13.86328125" style="4" bestFit="1" customWidth="1"/>
    <col min="10250" max="10250" width="14.86328125" style="4" bestFit="1" customWidth="1"/>
    <col min="10251" max="10489" width="9.1328125" style="4"/>
    <col min="10490" max="10490" width="15.3984375" style="4" bestFit="1" customWidth="1"/>
    <col min="10491" max="10491" width="11.1328125" style="4" bestFit="1" customWidth="1"/>
    <col min="10492" max="10492" width="14.59765625" style="4" bestFit="1" customWidth="1"/>
    <col min="10493" max="10493" width="17.3984375" style="4" bestFit="1" customWidth="1"/>
    <col min="10494" max="10494" width="17.59765625" style="4" bestFit="1" customWidth="1"/>
    <col min="10495" max="10495" width="14.73046875" style="4" bestFit="1" customWidth="1"/>
    <col min="10496" max="10496" width="14.3984375" style="4" bestFit="1" customWidth="1"/>
    <col min="10497" max="10497" width="12.1328125" style="4" bestFit="1" customWidth="1"/>
    <col min="10498" max="10498" width="12.3984375" style="4" bestFit="1" customWidth="1"/>
    <col min="10499" max="10500" width="13.86328125" style="4" bestFit="1" customWidth="1"/>
    <col min="10501" max="10501" width="14.86328125" style="4" bestFit="1" customWidth="1"/>
    <col min="10502" max="10502" width="12.1328125" style="4" bestFit="1" customWidth="1"/>
    <col min="10503" max="10503" width="12.3984375" style="4" bestFit="1" customWidth="1"/>
    <col min="10504" max="10505" width="13.86328125" style="4" bestFit="1" customWidth="1"/>
    <col min="10506" max="10506" width="14.86328125" style="4" bestFit="1" customWidth="1"/>
    <col min="10507" max="10745" width="9.1328125" style="4"/>
    <col min="10746" max="10746" width="15.3984375" style="4" bestFit="1" customWidth="1"/>
    <col min="10747" max="10747" width="11.1328125" style="4" bestFit="1" customWidth="1"/>
    <col min="10748" max="10748" width="14.59765625" style="4" bestFit="1" customWidth="1"/>
    <col min="10749" max="10749" width="17.3984375" style="4" bestFit="1" customWidth="1"/>
    <col min="10750" max="10750" width="17.59765625" style="4" bestFit="1" customWidth="1"/>
    <col min="10751" max="10751" width="14.73046875" style="4" bestFit="1" customWidth="1"/>
    <col min="10752" max="10752" width="14.3984375" style="4" bestFit="1" customWidth="1"/>
    <col min="10753" max="10753" width="12.1328125" style="4" bestFit="1" customWidth="1"/>
    <col min="10754" max="10754" width="12.3984375" style="4" bestFit="1" customWidth="1"/>
    <col min="10755" max="10756" width="13.86328125" style="4" bestFit="1" customWidth="1"/>
    <col min="10757" max="10757" width="14.86328125" style="4" bestFit="1" customWidth="1"/>
    <col min="10758" max="10758" width="12.1328125" style="4" bestFit="1" customWidth="1"/>
    <col min="10759" max="10759" width="12.3984375" style="4" bestFit="1" customWidth="1"/>
    <col min="10760" max="10761" width="13.86328125" style="4" bestFit="1" customWidth="1"/>
    <col min="10762" max="10762" width="14.86328125" style="4" bestFit="1" customWidth="1"/>
    <col min="10763" max="11001" width="9.1328125" style="4"/>
    <col min="11002" max="11002" width="15.3984375" style="4" bestFit="1" customWidth="1"/>
    <col min="11003" max="11003" width="11.1328125" style="4" bestFit="1" customWidth="1"/>
    <col min="11004" max="11004" width="14.59765625" style="4" bestFit="1" customWidth="1"/>
    <col min="11005" max="11005" width="17.3984375" style="4" bestFit="1" customWidth="1"/>
    <col min="11006" max="11006" width="17.59765625" style="4" bestFit="1" customWidth="1"/>
    <col min="11007" max="11007" width="14.73046875" style="4" bestFit="1" customWidth="1"/>
    <col min="11008" max="11008" width="14.3984375" style="4" bestFit="1" customWidth="1"/>
    <col min="11009" max="11009" width="12.1328125" style="4" bestFit="1" customWidth="1"/>
    <col min="11010" max="11010" width="12.3984375" style="4" bestFit="1" customWidth="1"/>
    <col min="11011" max="11012" width="13.86328125" style="4" bestFit="1" customWidth="1"/>
    <col min="11013" max="11013" width="14.86328125" style="4" bestFit="1" customWidth="1"/>
    <col min="11014" max="11014" width="12.1328125" style="4" bestFit="1" customWidth="1"/>
    <col min="11015" max="11015" width="12.3984375" style="4" bestFit="1" customWidth="1"/>
    <col min="11016" max="11017" width="13.86328125" style="4" bestFit="1" customWidth="1"/>
    <col min="11018" max="11018" width="14.86328125" style="4" bestFit="1" customWidth="1"/>
    <col min="11019" max="11257" width="9.1328125" style="4"/>
    <col min="11258" max="11258" width="15.3984375" style="4" bestFit="1" customWidth="1"/>
    <col min="11259" max="11259" width="11.1328125" style="4" bestFit="1" customWidth="1"/>
    <col min="11260" max="11260" width="14.59765625" style="4" bestFit="1" customWidth="1"/>
    <col min="11261" max="11261" width="17.3984375" style="4" bestFit="1" customWidth="1"/>
    <col min="11262" max="11262" width="17.59765625" style="4" bestFit="1" customWidth="1"/>
    <col min="11263" max="11263" width="14.73046875" style="4" bestFit="1" customWidth="1"/>
    <col min="11264" max="11264" width="14.3984375" style="4" bestFit="1" customWidth="1"/>
    <col min="11265" max="11265" width="12.1328125" style="4" bestFit="1" customWidth="1"/>
    <col min="11266" max="11266" width="12.3984375" style="4" bestFit="1" customWidth="1"/>
    <col min="11267" max="11268" width="13.86328125" style="4" bestFit="1" customWidth="1"/>
    <col min="11269" max="11269" width="14.86328125" style="4" bestFit="1" customWidth="1"/>
    <col min="11270" max="11270" width="12.1328125" style="4" bestFit="1" customWidth="1"/>
    <col min="11271" max="11271" width="12.3984375" style="4" bestFit="1" customWidth="1"/>
    <col min="11272" max="11273" width="13.86328125" style="4" bestFit="1" customWidth="1"/>
    <col min="11274" max="11274" width="14.86328125" style="4" bestFit="1" customWidth="1"/>
    <col min="11275" max="11513" width="9.1328125" style="4"/>
    <col min="11514" max="11514" width="15.3984375" style="4" bestFit="1" customWidth="1"/>
    <col min="11515" max="11515" width="11.1328125" style="4" bestFit="1" customWidth="1"/>
    <col min="11516" max="11516" width="14.59765625" style="4" bestFit="1" customWidth="1"/>
    <col min="11517" max="11517" width="17.3984375" style="4" bestFit="1" customWidth="1"/>
    <col min="11518" max="11518" width="17.59765625" style="4" bestFit="1" customWidth="1"/>
    <col min="11519" max="11519" width="14.73046875" style="4" bestFit="1" customWidth="1"/>
    <col min="11520" max="11520" width="14.3984375" style="4" bestFit="1" customWidth="1"/>
    <col min="11521" max="11521" width="12.1328125" style="4" bestFit="1" customWidth="1"/>
    <col min="11522" max="11522" width="12.3984375" style="4" bestFit="1" customWidth="1"/>
    <col min="11523" max="11524" width="13.86328125" style="4" bestFit="1" customWidth="1"/>
    <col min="11525" max="11525" width="14.86328125" style="4" bestFit="1" customWidth="1"/>
    <col min="11526" max="11526" width="12.1328125" style="4" bestFit="1" customWidth="1"/>
    <col min="11527" max="11527" width="12.3984375" style="4" bestFit="1" customWidth="1"/>
    <col min="11528" max="11529" width="13.86328125" style="4" bestFit="1" customWidth="1"/>
    <col min="11530" max="11530" width="14.86328125" style="4" bestFit="1" customWidth="1"/>
    <col min="11531" max="11769" width="9.1328125" style="4"/>
    <col min="11770" max="11770" width="15.3984375" style="4" bestFit="1" customWidth="1"/>
    <col min="11771" max="11771" width="11.1328125" style="4" bestFit="1" customWidth="1"/>
    <col min="11772" max="11772" width="14.59765625" style="4" bestFit="1" customWidth="1"/>
    <col min="11773" max="11773" width="17.3984375" style="4" bestFit="1" customWidth="1"/>
    <col min="11774" max="11774" width="17.59765625" style="4" bestFit="1" customWidth="1"/>
    <col min="11775" max="11775" width="14.73046875" style="4" bestFit="1" customWidth="1"/>
    <col min="11776" max="11776" width="14.3984375" style="4" bestFit="1" customWidth="1"/>
    <col min="11777" max="11777" width="12.1328125" style="4" bestFit="1" customWidth="1"/>
    <col min="11778" max="11778" width="12.3984375" style="4" bestFit="1" customWidth="1"/>
    <col min="11779" max="11780" width="13.86328125" style="4" bestFit="1" customWidth="1"/>
    <col min="11781" max="11781" width="14.86328125" style="4" bestFit="1" customWidth="1"/>
    <col min="11782" max="11782" width="12.1328125" style="4" bestFit="1" customWidth="1"/>
    <col min="11783" max="11783" width="12.3984375" style="4" bestFit="1" customWidth="1"/>
    <col min="11784" max="11785" width="13.86328125" style="4" bestFit="1" customWidth="1"/>
    <col min="11786" max="11786" width="14.86328125" style="4" bestFit="1" customWidth="1"/>
    <col min="11787" max="12025" width="9.1328125" style="4"/>
    <col min="12026" max="12026" width="15.3984375" style="4" bestFit="1" customWidth="1"/>
    <col min="12027" max="12027" width="11.1328125" style="4" bestFit="1" customWidth="1"/>
    <col min="12028" max="12028" width="14.59765625" style="4" bestFit="1" customWidth="1"/>
    <col min="12029" max="12029" width="17.3984375" style="4" bestFit="1" customWidth="1"/>
    <col min="12030" max="12030" width="17.59765625" style="4" bestFit="1" customWidth="1"/>
    <col min="12031" max="12031" width="14.73046875" style="4" bestFit="1" customWidth="1"/>
    <col min="12032" max="12032" width="14.3984375" style="4" bestFit="1" customWidth="1"/>
    <col min="12033" max="12033" width="12.1328125" style="4" bestFit="1" customWidth="1"/>
    <col min="12034" max="12034" width="12.3984375" style="4" bestFit="1" customWidth="1"/>
    <col min="12035" max="12036" width="13.86328125" style="4" bestFit="1" customWidth="1"/>
    <col min="12037" max="12037" width="14.86328125" style="4" bestFit="1" customWidth="1"/>
    <col min="12038" max="12038" width="12.1328125" style="4" bestFit="1" customWidth="1"/>
    <col min="12039" max="12039" width="12.3984375" style="4" bestFit="1" customWidth="1"/>
    <col min="12040" max="12041" width="13.86328125" style="4" bestFit="1" customWidth="1"/>
    <col min="12042" max="12042" width="14.86328125" style="4" bestFit="1" customWidth="1"/>
    <col min="12043" max="12281" width="9.1328125" style="4"/>
    <col min="12282" max="12282" width="15.3984375" style="4" bestFit="1" customWidth="1"/>
    <col min="12283" max="12283" width="11.1328125" style="4" bestFit="1" customWidth="1"/>
    <col min="12284" max="12284" width="14.59765625" style="4" bestFit="1" customWidth="1"/>
    <col min="12285" max="12285" width="17.3984375" style="4" bestFit="1" customWidth="1"/>
    <col min="12286" max="12286" width="17.59765625" style="4" bestFit="1" customWidth="1"/>
    <col min="12287" max="12287" width="14.73046875" style="4" bestFit="1" customWidth="1"/>
    <col min="12288" max="12288" width="14.3984375" style="4" bestFit="1" customWidth="1"/>
    <col min="12289" max="12289" width="12.1328125" style="4" bestFit="1" customWidth="1"/>
    <col min="12290" max="12290" width="12.3984375" style="4" bestFit="1" customWidth="1"/>
    <col min="12291" max="12292" width="13.86328125" style="4" bestFit="1" customWidth="1"/>
    <col min="12293" max="12293" width="14.86328125" style="4" bestFit="1" customWidth="1"/>
    <col min="12294" max="12294" width="12.1328125" style="4" bestFit="1" customWidth="1"/>
    <col min="12295" max="12295" width="12.3984375" style="4" bestFit="1" customWidth="1"/>
    <col min="12296" max="12297" width="13.86328125" style="4" bestFit="1" customWidth="1"/>
    <col min="12298" max="12298" width="14.86328125" style="4" bestFit="1" customWidth="1"/>
    <col min="12299" max="12537" width="9.1328125" style="4"/>
    <col min="12538" max="12538" width="15.3984375" style="4" bestFit="1" customWidth="1"/>
    <col min="12539" max="12539" width="11.1328125" style="4" bestFit="1" customWidth="1"/>
    <col min="12540" max="12540" width="14.59765625" style="4" bestFit="1" customWidth="1"/>
    <col min="12541" max="12541" width="17.3984375" style="4" bestFit="1" customWidth="1"/>
    <col min="12542" max="12542" width="17.59765625" style="4" bestFit="1" customWidth="1"/>
    <col min="12543" max="12543" width="14.73046875" style="4" bestFit="1" customWidth="1"/>
    <col min="12544" max="12544" width="14.3984375" style="4" bestFit="1" customWidth="1"/>
    <col min="12545" max="12545" width="12.1328125" style="4" bestFit="1" customWidth="1"/>
    <col min="12546" max="12546" width="12.3984375" style="4" bestFit="1" customWidth="1"/>
    <col min="12547" max="12548" width="13.86328125" style="4" bestFit="1" customWidth="1"/>
    <col min="12549" max="12549" width="14.86328125" style="4" bestFit="1" customWidth="1"/>
    <col min="12550" max="12550" width="12.1328125" style="4" bestFit="1" customWidth="1"/>
    <col min="12551" max="12551" width="12.3984375" style="4" bestFit="1" customWidth="1"/>
    <col min="12552" max="12553" width="13.86328125" style="4" bestFit="1" customWidth="1"/>
    <col min="12554" max="12554" width="14.86328125" style="4" bestFit="1" customWidth="1"/>
    <col min="12555" max="12793" width="9.1328125" style="4"/>
    <col min="12794" max="12794" width="15.3984375" style="4" bestFit="1" customWidth="1"/>
    <col min="12795" max="12795" width="11.1328125" style="4" bestFit="1" customWidth="1"/>
    <col min="12796" max="12796" width="14.59765625" style="4" bestFit="1" customWidth="1"/>
    <col min="12797" max="12797" width="17.3984375" style="4" bestFit="1" customWidth="1"/>
    <col min="12798" max="12798" width="17.59765625" style="4" bestFit="1" customWidth="1"/>
    <col min="12799" max="12799" width="14.73046875" style="4" bestFit="1" customWidth="1"/>
    <col min="12800" max="12800" width="14.3984375" style="4" bestFit="1" customWidth="1"/>
    <col min="12801" max="12801" width="12.1328125" style="4" bestFit="1" customWidth="1"/>
    <col min="12802" max="12802" width="12.3984375" style="4" bestFit="1" customWidth="1"/>
    <col min="12803" max="12804" width="13.86328125" style="4" bestFit="1" customWidth="1"/>
    <col min="12805" max="12805" width="14.86328125" style="4" bestFit="1" customWidth="1"/>
    <col min="12806" max="12806" width="12.1328125" style="4" bestFit="1" customWidth="1"/>
    <col min="12807" max="12807" width="12.3984375" style="4" bestFit="1" customWidth="1"/>
    <col min="12808" max="12809" width="13.86328125" style="4" bestFit="1" customWidth="1"/>
    <col min="12810" max="12810" width="14.86328125" style="4" bestFit="1" customWidth="1"/>
    <col min="12811" max="13049" width="9.1328125" style="4"/>
    <col min="13050" max="13050" width="15.3984375" style="4" bestFit="1" customWidth="1"/>
    <col min="13051" max="13051" width="11.1328125" style="4" bestFit="1" customWidth="1"/>
    <col min="13052" max="13052" width="14.59765625" style="4" bestFit="1" customWidth="1"/>
    <col min="13053" max="13053" width="17.3984375" style="4" bestFit="1" customWidth="1"/>
    <col min="13054" max="13054" width="17.59765625" style="4" bestFit="1" customWidth="1"/>
    <col min="13055" max="13055" width="14.73046875" style="4" bestFit="1" customWidth="1"/>
    <col min="13056" max="13056" width="14.3984375" style="4" bestFit="1" customWidth="1"/>
    <col min="13057" max="13057" width="12.1328125" style="4" bestFit="1" customWidth="1"/>
    <col min="13058" max="13058" width="12.3984375" style="4" bestFit="1" customWidth="1"/>
    <col min="13059" max="13060" width="13.86328125" style="4" bestFit="1" customWidth="1"/>
    <col min="13061" max="13061" width="14.86328125" style="4" bestFit="1" customWidth="1"/>
    <col min="13062" max="13062" width="12.1328125" style="4" bestFit="1" customWidth="1"/>
    <col min="13063" max="13063" width="12.3984375" style="4" bestFit="1" customWidth="1"/>
    <col min="13064" max="13065" width="13.86328125" style="4" bestFit="1" customWidth="1"/>
    <col min="13066" max="13066" width="14.86328125" style="4" bestFit="1" customWidth="1"/>
    <col min="13067" max="13305" width="9.1328125" style="4"/>
    <col min="13306" max="13306" width="15.3984375" style="4" bestFit="1" customWidth="1"/>
    <col min="13307" max="13307" width="11.1328125" style="4" bestFit="1" customWidth="1"/>
    <col min="13308" max="13308" width="14.59765625" style="4" bestFit="1" customWidth="1"/>
    <col min="13309" max="13309" width="17.3984375" style="4" bestFit="1" customWidth="1"/>
    <col min="13310" max="13310" width="17.59765625" style="4" bestFit="1" customWidth="1"/>
    <col min="13311" max="13311" width="14.73046875" style="4" bestFit="1" customWidth="1"/>
    <col min="13312" max="13312" width="14.3984375" style="4" bestFit="1" customWidth="1"/>
    <col min="13313" max="13313" width="12.1328125" style="4" bestFit="1" customWidth="1"/>
    <col min="13314" max="13314" width="12.3984375" style="4" bestFit="1" customWidth="1"/>
    <col min="13315" max="13316" width="13.86328125" style="4" bestFit="1" customWidth="1"/>
    <col min="13317" max="13317" width="14.86328125" style="4" bestFit="1" customWidth="1"/>
    <col min="13318" max="13318" width="12.1328125" style="4" bestFit="1" customWidth="1"/>
    <col min="13319" max="13319" width="12.3984375" style="4" bestFit="1" customWidth="1"/>
    <col min="13320" max="13321" width="13.86328125" style="4" bestFit="1" customWidth="1"/>
    <col min="13322" max="13322" width="14.86328125" style="4" bestFit="1" customWidth="1"/>
    <col min="13323" max="13561" width="9.1328125" style="4"/>
    <col min="13562" max="13562" width="15.3984375" style="4" bestFit="1" customWidth="1"/>
    <col min="13563" max="13563" width="11.1328125" style="4" bestFit="1" customWidth="1"/>
    <col min="13564" max="13564" width="14.59765625" style="4" bestFit="1" customWidth="1"/>
    <col min="13565" max="13565" width="17.3984375" style="4" bestFit="1" customWidth="1"/>
    <col min="13566" max="13566" width="17.59765625" style="4" bestFit="1" customWidth="1"/>
    <col min="13567" max="13567" width="14.73046875" style="4" bestFit="1" customWidth="1"/>
    <col min="13568" max="13568" width="14.3984375" style="4" bestFit="1" customWidth="1"/>
    <col min="13569" max="13569" width="12.1328125" style="4" bestFit="1" customWidth="1"/>
    <col min="13570" max="13570" width="12.3984375" style="4" bestFit="1" customWidth="1"/>
    <col min="13571" max="13572" width="13.86328125" style="4" bestFit="1" customWidth="1"/>
    <col min="13573" max="13573" width="14.86328125" style="4" bestFit="1" customWidth="1"/>
    <col min="13574" max="13574" width="12.1328125" style="4" bestFit="1" customWidth="1"/>
    <col min="13575" max="13575" width="12.3984375" style="4" bestFit="1" customWidth="1"/>
    <col min="13576" max="13577" width="13.86328125" style="4" bestFit="1" customWidth="1"/>
    <col min="13578" max="13578" width="14.86328125" style="4" bestFit="1" customWidth="1"/>
    <col min="13579" max="13817" width="9.1328125" style="4"/>
    <col min="13818" max="13818" width="15.3984375" style="4" bestFit="1" customWidth="1"/>
    <col min="13819" max="13819" width="11.1328125" style="4" bestFit="1" customWidth="1"/>
    <col min="13820" max="13820" width="14.59765625" style="4" bestFit="1" customWidth="1"/>
    <col min="13821" max="13821" width="17.3984375" style="4" bestFit="1" customWidth="1"/>
    <col min="13822" max="13822" width="17.59765625" style="4" bestFit="1" customWidth="1"/>
    <col min="13823" max="13823" width="14.73046875" style="4" bestFit="1" customWidth="1"/>
    <col min="13824" max="13824" width="14.3984375" style="4" bestFit="1" customWidth="1"/>
    <col min="13825" max="13825" width="12.1328125" style="4" bestFit="1" customWidth="1"/>
    <col min="13826" max="13826" width="12.3984375" style="4" bestFit="1" customWidth="1"/>
    <col min="13827" max="13828" width="13.86328125" style="4" bestFit="1" customWidth="1"/>
    <col min="13829" max="13829" width="14.86328125" style="4" bestFit="1" customWidth="1"/>
    <col min="13830" max="13830" width="12.1328125" style="4" bestFit="1" customWidth="1"/>
    <col min="13831" max="13831" width="12.3984375" style="4" bestFit="1" customWidth="1"/>
    <col min="13832" max="13833" width="13.86328125" style="4" bestFit="1" customWidth="1"/>
    <col min="13834" max="13834" width="14.86328125" style="4" bestFit="1" customWidth="1"/>
    <col min="13835" max="14073" width="9.1328125" style="4"/>
    <col min="14074" max="14074" width="15.3984375" style="4" bestFit="1" customWidth="1"/>
    <col min="14075" max="14075" width="11.1328125" style="4" bestFit="1" customWidth="1"/>
    <col min="14076" max="14076" width="14.59765625" style="4" bestFit="1" customWidth="1"/>
    <col min="14077" max="14077" width="17.3984375" style="4" bestFit="1" customWidth="1"/>
    <col min="14078" max="14078" width="17.59765625" style="4" bestFit="1" customWidth="1"/>
    <col min="14079" max="14079" width="14.73046875" style="4" bestFit="1" customWidth="1"/>
    <col min="14080" max="14080" width="14.3984375" style="4" bestFit="1" customWidth="1"/>
    <col min="14081" max="14081" width="12.1328125" style="4" bestFit="1" customWidth="1"/>
    <col min="14082" max="14082" width="12.3984375" style="4" bestFit="1" customWidth="1"/>
    <col min="14083" max="14084" width="13.86328125" style="4" bestFit="1" customWidth="1"/>
    <col min="14085" max="14085" width="14.86328125" style="4" bestFit="1" customWidth="1"/>
    <col min="14086" max="14086" width="12.1328125" style="4" bestFit="1" customWidth="1"/>
    <col min="14087" max="14087" width="12.3984375" style="4" bestFit="1" customWidth="1"/>
    <col min="14088" max="14089" width="13.86328125" style="4" bestFit="1" customWidth="1"/>
    <col min="14090" max="14090" width="14.86328125" style="4" bestFit="1" customWidth="1"/>
    <col min="14091" max="14329" width="9.1328125" style="4"/>
    <col min="14330" max="14330" width="15.3984375" style="4" bestFit="1" customWidth="1"/>
    <col min="14331" max="14331" width="11.1328125" style="4" bestFit="1" customWidth="1"/>
    <col min="14332" max="14332" width="14.59765625" style="4" bestFit="1" customWidth="1"/>
    <col min="14333" max="14333" width="17.3984375" style="4" bestFit="1" customWidth="1"/>
    <col min="14334" max="14334" width="17.59765625" style="4" bestFit="1" customWidth="1"/>
    <col min="14335" max="14335" width="14.73046875" style="4" bestFit="1" customWidth="1"/>
    <col min="14336" max="14336" width="14.3984375" style="4" bestFit="1" customWidth="1"/>
    <col min="14337" max="14337" width="12.1328125" style="4" bestFit="1" customWidth="1"/>
    <col min="14338" max="14338" width="12.3984375" style="4" bestFit="1" customWidth="1"/>
    <col min="14339" max="14340" width="13.86328125" style="4" bestFit="1" customWidth="1"/>
    <col min="14341" max="14341" width="14.86328125" style="4" bestFit="1" customWidth="1"/>
    <col min="14342" max="14342" width="12.1328125" style="4" bestFit="1" customWidth="1"/>
    <col min="14343" max="14343" width="12.3984375" style="4" bestFit="1" customWidth="1"/>
    <col min="14344" max="14345" width="13.86328125" style="4" bestFit="1" customWidth="1"/>
    <col min="14346" max="14346" width="14.86328125" style="4" bestFit="1" customWidth="1"/>
    <col min="14347" max="14585" width="9.1328125" style="4"/>
    <col min="14586" max="14586" width="15.3984375" style="4" bestFit="1" customWidth="1"/>
    <col min="14587" max="14587" width="11.1328125" style="4" bestFit="1" customWidth="1"/>
    <col min="14588" max="14588" width="14.59765625" style="4" bestFit="1" customWidth="1"/>
    <col min="14589" max="14589" width="17.3984375" style="4" bestFit="1" customWidth="1"/>
    <col min="14590" max="14590" width="17.59765625" style="4" bestFit="1" customWidth="1"/>
    <col min="14591" max="14591" width="14.73046875" style="4" bestFit="1" customWidth="1"/>
    <col min="14592" max="14592" width="14.3984375" style="4" bestFit="1" customWidth="1"/>
    <col min="14593" max="14593" width="12.1328125" style="4" bestFit="1" customWidth="1"/>
    <col min="14594" max="14594" width="12.3984375" style="4" bestFit="1" customWidth="1"/>
    <col min="14595" max="14596" width="13.86328125" style="4" bestFit="1" customWidth="1"/>
    <col min="14597" max="14597" width="14.86328125" style="4" bestFit="1" customWidth="1"/>
    <col min="14598" max="14598" width="12.1328125" style="4" bestFit="1" customWidth="1"/>
    <col min="14599" max="14599" width="12.3984375" style="4" bestFit="1" customWidth="1"/>
    <col min="14600" max="14601" width="13.86328125" style="4" bestFit="1" customWidth="1"/>
    <col min="14602" max="14602" width="14.86328125" style="4" bestFit="1" customWidth="1"/>
    <col min="14603" max="14841" width="9.1328125" style="4"/>
    <col min="14842" max="14842" width="15.3984375" style="4" bestFit="1" customWidth="1"/>
    <col min="14843" max="14843" width="11.1328125" style="4" bestFit="1" customWidth="1"/>
    <col min="14844" max="14844" width="14.59765625" style="4" bestFit="1" customWidth="1"/>
    <col min="14845" max="14845" width="17.3984375" style="4" bestFit="1" customWidth="1"/>
    <col min="14846" max="14846" width="17.59765625" style="4" bestFit="1" customWidth="1"/>
    <col min="14847" max="14847" width="14.73046875" style="4" bestFit="1" customWidth="1"/>
    <col min="14848" max="14848" width="14.3984375" style="4" bestFit="1" customWidth="1"/>
    <col min="14849" max="14849" width="12.1328125" style="4" bestFit="1" customWidth="1"/>
    <col min="14850" max="14850" width="12.3984375" style="4" bestFit="1" customWidth="1"/>
    <col min="14851" max="14852" width="13.86328125" style="4" bestFit="1" customWidth="1"/>
    <col min="14853" max="14853" width="14.86328125" style="4" bestFit="1" customWidth="1"/>
    <col min="14854" max="14854" width="12.1328125" style="4" bestFit="1" customWidth="1"/>
    <col min="14855" max="14855" width="12.3984375" style="4" bestFit="1" customWidth="1"/>
    <col min="14856" max="14857" width="13.86328125" style="4" bestFit="1" customWidth="1"/>
    <col min="14858" max="14858" width="14.86328125" style="4" bestFit="1" customWidth="1"/>
    <col min="14859" max="15097" width="9.1328125" style="4"/>
    <col min="15098" max="15098" width="15.3984375" style="4" bestFit="1" customWidth="1"/>
    <col min="15099" max="15099" width="11.1328125" style="4" bestFit="1" customWidth="1"/>
    <col min="15100" max="15100" width="14.59765625" style="4" bestFit="1" customWidth="1"/>
    <col min="15101" max="15101" width="17.3984375" style="4" bestFit="1" customWidth="1"/>
    <col min="15102" max="15102" width="17.59765625" style="4" bestFit="1" customWidth="1"/>
    <col min="15103" max="15103" width="14.73046875" style="4" bestFit="1" customWidth="1"/>
    <col min="15104" max="15104" width="14.3984375" style="4" bestFit="1" customWidth="1"/>
    <col min="15105" max="15105" width="12.1328125" style="4" bestFit="1" customWidth="1"/>
    <col min="15106" max="15106" width="12.3984375" style="4" bestFit="1" customWidth="1"/>
    <col min="15107" max="15108" width="13.86328125" style="4" bestFit="1" customWidth="1"/>
    <col min="15109" max="15109" width="14.86328125" style="4" bestFit="1" customWidth="1"/>
    <col min="15110" max="15110" width="12.1328125" style="4" bestFit="1" customWidth="1"/>
    <col min="15111" max="15111" width="12.3984375" style="4" bestFit="1" customWidth="1"/>
    <col min="15112" max="15113" width="13.86328125" style="4" bestFit="1" customWidth="1"/>
    <col min="15114" max="15114" width="14.86328125" style="4" bestFit="1" customWidth="1"/>
    <col min="15115" max="15353" width="9.1328125" style="4"/>
    <col min="15354" max="15354" width="15.3984375" style="4" bestFit="1" customWidth="1"/>
    <col min="15355" max="15355" width="11.1328125" style="4" bestFit="1" customWidth="1"/>
    <col min="15356" max="15356" width="14.59765625" style="4" bestFit="1" customWidth="1"/>
    <col min="15357" max="15357" width="17.3984375" style="4" bestFit="1" customWidth="1"/>
    <col min="15358" max="15358" width="17.59765625" style="4" bestFit="1" customWidth="1"/>
    <col min="15359" max="15359" width="14.73046875" style="4" bestFit="1" customWidth="1"/>
    <col min="15360" max="15360" width="14.3984375" style="4" bestFit="1" customWidth="1"/>
    <col min="15361" max="15361" width="12.1328125" style="4" bestFit="1" customWidth="1"/>
    <col min="15362" max="15362" width="12.3984375" style="4" bestFit="1" customWidth="1"/>
    <col min="15363" max="15364" width="13.86328125" style="4" bestFit="1" customWidth="1"/>
    <col min="15365" max="15365" width="14.86328125" style="4" bestFit="1" customWidth="1"/>
    <col min="15366" max="15366" width="12.1328125" style="4" bestFit="1" customWidth="1"/>
    <col min="15367" max="15367" width="12.3984375" style="4" bestFit="1" customWidth="1"/>
    <col min="15368" max="15369" width="13.86328125" style="4" bestFit="1" customWidth="1"/>
    <col min="15370" max="15370" width="14.86328125" style="4" bestFit="1" customWidth="1"/>
    <col min="15371" max="15609" width="9.1328125" style="4"/>
    <col min="15610" max="15610" width="15.3984375" style="4" bestFit="1" customWidth="1"/>
    <col min="15611" max="15611" width="11.1328125" style="4" bestFit="1" customWidth="1"/>
    <col min="15612" max="15612" width="14.59765625" style="4" bestFit="1" customWidth="1"/>
    <col min="15613" max="15613" width="17.3984375" style="4" bestFit="1" customWidth="1"/>
    <col min="15614" max="15614" width="17.59765625" style="4" bestFit="1" customWidth="1"/>
    <col min="15615" max="15615" width="14.73046875" style="4" bestFit="1" customWidth="1"/>
    <col min="15616" max="15616" width="14.3984375" style="4" bestFit="1" customWidth="1"/>
    <col min="15617" max="15617" width="12.1328125" style="4" bestFit="1" customWidth="1"/>
    <col min="15618" max="15618" width="12.3984375" style="4" bestFit="1" customWidth="1"/>
    <col min="15619" max="15620" width="13.86328125" style="4" bestFit="1" customWidth="1"/>
    <col min="15621" max="15621" width="14.86328125" style="4" bestFit="1" customWidth="1"/>
    <col min="15622" max="15622" width="12.1328125" style="4" bestFit="1" customWidth="1"/>
    <col min="15623" max="15623" width="12.3984375" style="4" bestFit="1" customWidth="1"/>
    <col min="15624" max="15625" width="13.86328125" style="4" bestFit="1" customWidth="1"/>
    <col min="15626" max="15626" width="14.86328125" style="4" bestFit="1" customWidth="1"/>
    <col min="15627" max="15865" width="9.1328125" style="4"/>
    <col min="15866" max="15866" width="15.3984375" style="4" bestFit="1" customWidth="1"/>
    <col min="15867" max="15867" width="11.1328125" style="4" bestFit="1" customWidth="1"/>
    <col min="15868" max="15868" width="14.59765625" style="4" bestFit="1" customWidth="1"/>
    <col min="15869" max="15869" width="17.3984375" style="4" bestFit="1" customWidth="1"/>
    <col min="15870" max="15870" width="17.59765625" style="4" bestFit="1" customWidth="1"/>
    <col min="15871" max="15871" width="14.73046875" style="4" bestFit="1" customWidth="1"/>
    <col min="15872" max="15872" width="14.3984375" style="4" bestFit="1" customWidth="1"/>
    <col min="15873" max="15873" width="12.1328125" style="4" bestFit="1" customWidth="1"/>
    <col min="15874" max="15874" width="12.3984375" style="4" bestFit="1" customWidth="1"/>
    <col min="15875" max="15876" width="13.86328125" style="4" bestFit="1" customWidth="1"/>
    <col min="15877" max="15877" width="14.86328125" style="4" bestFit="1" customWidth="1"/>
    <col min="15878" max="15878" width="12.1328125" style="4" bestFit="1" customWidth="1"/>
    <col min="15879" max="15879" width="12.3984375" style="4" bestFit="1" customWidth="1"/>
    <col min="15880" max="15881" width="13.86328125" style="4" bestFit="1" customWidth="1"/>
    <col min="15882" max="15882" width="14.86328125" style="4" bestFit="1" customWidth="1"/>
    <col min="15883" max="16121" width="9.1328125" style="4"/>
    <col min="16122" max="16122" width="15.3984375" style="4" bestFit="1" customWidth="1"/>
    <col min="16123" max="16123" width="11.1328125" style="4" bestFit="1" customWidth="1"/>
    <col min="16124" max="16124" width="14.59765625" style="4" bestFit="1" customWidth="1"/>
    <col min="16125" max="16125" width="17.3984375" style="4" bestFit="1" customWidth="1"/>
    <col min="16126" max="16126" width="17.59765625" style="4" bestFit="1" customWidth="1"/>
    <col min="16127" max="16127" width="14.73046875" style="4" bestFit="1" customWidth="1"/>
    <col min="16128" max="16128" width="14.3984375" style="4" bestFit="1" customWidth="1"/>
    <col min="16129" max="16129" width="12.1328125" style="4" bestFit="1" customWidth="1"/>
    <col min="16130" max="16130" width="12.3984375" style="4" bestFit="1" customWidth="1"/>
    <col min="16131" max="16132" width="13.86328125" style="4" bestFit="1" customWidth="1"/>
    <col min="16133" max="16133" width="14.86328125" style="4" bestFit="1" customWidth="1"/>
    <col min="16134" max="16134" width="12.1328125" style="4" bestFit="1" customWidth="1"/>
    <col min="16135" max="16135" width="12.3984375" style="4" bestFit="1" customWidth="1"/>
    <col min="16136" max="16137" width="13.86328125" style="4" bestFit="1" customWidth="1"/>
    <col min="16138" max="16138" width="14.86328125" style="4" bestFit="1" customWidth="1"/>
    <col min="16139" max="16378" width="9.1328125" style="4"/>
    <col min="16379" max="16384" width="9.1328125" style="4" customWidth="1"/>
  </cols>
  <sheetData>
    <row r="1" spans="1:18">
      <c r="A1" s="57" t="s">
        <v>323</v>
      </c>
      <c r="B1" s="87" t="s">
        <v>324</v>
      </c>
      <c r="C1" s="58" t="s">
        <v>250</v>
      </c>
      <c r="D1" s="58" t="s">
        <v>251</v>
      </c>
      <c r="E1" s="58" t="s">
        <v>252</v>
      </c>
      <c r="F1" s="58" t="s">
        <v>253</v>
      </c>
      <c r="G1" s="58" t="s">
        <v>255</v>
      </c>
      <c r="H1" s="58" t="s">
        <v>254</v>
      </c>
      <c r="I1" s="58" t="s">
        <v>256</v>
      </c>
      <c r="J1" s="58" t="s">
        <v>257</v>
      </c>
      <c r="K1" s="58" t="s">
        <v>258</v>
      </c>
      <c r="L1" s="58" t="s">
        <v>259</v>
      </c>
      <c r="M1" s="58" t="s">
        <v>260</v>
      </c>
      <c r="N1" s="58" t="s">
        <v>261</v>
      </c>
      <c r="O1" s="58" t="s">
        <v>262</v>
      </c>
      <c r="P1" s="58" t="s">
        <v>263</v>
      </c>
      <c r="Q1" s="58" t="s">
        <v>264</v>
      </c>
      <c r="R1" s="58" t="s">
        <v>265</v>
      </c>
    </row>
    <row r="2" spans="1:18">
      <c r="A2" s="60" t="s">
        <v>5</v>
      </c>
      <c r="B2" s="76" t="s">
        <v>6</v>
      </c>
      <c r="C2" s="61">
        <f>IFERROR((d_DL/(Rad_Spec!V2*d_IFD_w*d_EF_w))*1,".")</f>
        <v>0.14289429537394008</v>
      </c>
      <c r="D2" s="61">
        <f>IFERROR((d_DL/(Rad_Spec!AN2*d_IRA_w*(1/d_PEFm_pp)*d_SLF*d_ET_w*d_EF_w))*1,".")</f>
        <v>1.6414091092795734E-5</v>
      </c>
      <c r="E2" s="61">
        <f>IFERROR((d_DL/(Rad_Spec!AN2*d_IRA_w*(1/d_PEF)*d_SLF*d_ET_w*d_EF_w))*1,".")</f>
        <v>1.200022205450387E-2</v>
      </c>
      <c r="F2" s="61">
        <f>IFERROR((d_DL/(Rad_Spec!AY2*d_GSF_s*d_Fam*d_Foffset*acf!C2*d_ET_w*(1/24)*d_EF_w*(1/365)))*1,".")</f>
        <v>283.84788863830778</v>
      </c>
      <c r="G2" s="61">
        <f t="shared" ref="G2" si="0">(IF(AND(C2&lt;&gt;".",E2&lt;&gt;".",F2&lt;&gt;"."),1/((1/C2)+(1/E2)+(1/F2)),IF(AND(C2&lt;&gt;".",E2&lt;&gt;".",F2="."), 1/((1/C2)+(1/E2)),IF(AND(C2&lt;&gt;".",E2=".",F2&lt;&gt;"."),1/((1/C2)+(1/F2)),IF(AND(C2=".",E2&lt;&gt;".",F2&lt;&gt;"."),1/((1/E2)+(1/F2)),IF(AND(C2&lt;&gt;".",E2=".",F2="."),1/(1/C2),IF(AND(C2=".",E2&lt;&gt;".",F2="."),1/(1/E2),IF(AND(C2=".",E2=".",F2&lt;&gt;"."),1/(1/F2),IF(AND(C2=".",E2=".",F2="."),".")))))))))</f>
        <v>1.1070090971378083E-2</v>
      </c>
      <c r="H2" s="61">
        <f t="shared" ref="H2" si="1">(IF(AND(C2&lt;&gt;".",D2&lt;&gt;".",F2&lt;&gt;"."),1/((1/C2)+(1/D2)+(1/F2)),IF(AND(C2&lt;&gt;".",D2&lt;&gt;".",F2="."), 1/((1/C2)+(1/D2)),IF(AND(C2&lt;&gt;".",D2=".",F2&lt;&gt;"."),1/((1/C2)+(1/F2)),IF(AND(C2=".",D2&lt;&gt;".",F2&lt;&gt;"."),1/((1/D2)+(1/F2)),IF(AND(C2&lt;&gt;".",D2=".",F2="."),1/(1/C2),IF(AND(C2=".",D2&lt;&gt;".",F2="."),1/(1/D2),IF(AND(C2=".",D2=".",F2&lt;&gt;"."),1/(1/F2),IF(AND(C2=".",D2=".",F2="."),".")))))))))</f>
        <v>1.6412204894035293E-5</v>
      </c>
      <c r="I2" s="74">
        <f>IFERROR((d_DL/(Rad_Spec!AV2*d_GSF_s*d_Fam*d_Foffset*Fsurf!C2*d_EF_w*(1/365)*d_ET_w*(1/24)))*1,".")</f>
        <v>58.80304421909986</v>
      </c>
      <c r="J2" s="61">
        <f>IFERROR((d_DL/(Rad_Spec!AZ2*d_GSF_s*d_Fam*d_Foffset*Fsurf!C2*d_EF_w*(1/365)*d_ET_w*(1/24)))*1,".")</f>
        <v>213.07633180544502</v>
      </c>
      <c r="K2" s="61">
        <f>IFERROR((d_DL/(Rad_Spec!BA2*d_GSF_s*d_Fam*d_Foffset*Fsurf!C2*d_EF_w*(1/365)*d_ET_w*(1/24)))*1,".")</f>
        <v>81.57481134316302</v>
      </c>
      <c r="L2" s="61">
        <f>IFERROR((d_DL/(Rad_Spec!BB2*d_GSF_s*d_Fam*d_Foffset*Fsurf!C2*d_EF_w*(1/365)*d_ET_w*(1/24)))*1,".")</f>
        <v>60.513678232746386</v>
      </c>
      <c r="M2" s="61">
        <f>IFERROR((d_DL/(Rad_Spec!AY2*d_GSF_s*d_Fam*d_Foffset*Fsurf!C2*d_EF_w*(1/365)*d_ET_w*(1/24)))*1,".")</f>
        <v>201.45343409390193</v>
      </c>
      <c r="N2" s="61">
        <f>IFERROR((d_DL/(Rad_Spec!AV2*d_GSF_s*d_Fam*d_Foffset*acf!D2*d_ET_w*(1/24)*d_EF_w*(1/365)))*1,".")</f>
        <v>82.853489304711673</v>
      </c>
      <c r="O2" s="61">
        <f>IFERROR((d_DL/(Rad_Spec!AZ2*d_GSF_s*d_Fam*d_Foffset*acf!E2*d_ET_w*(1/24)*d_EF_w*(1/365)))*1,".")</f>
        <v>300.22455151387203</v>
      </c>
      <c r="P2" s="61">
        <f>IFERROR((d_DL/(Rad_Spec!BA2*d_GSF_s*d_Fam*d_Foffset*acf!F2*d_ET_w*(1/24)*d_EF_w*(1/365)))*1,".")</f>
        <v>114.9389091825167</v>
      </c>
      <c r="Q2" s="61">
        <f>IFERROR((d_DL/(Rad_Spec!BB2*d_GSF_s*d_Fam*d_Foffset*acf!G2*d_ET_w*(1/24)*d_EF_w*(1/365)))*1,".")</f>
        <v>85.263772629939652</v>
      </c>
      <c r="R2" s="61">
        <f>IFERROR((d_DL/(Rad_Spec!AY2*d_GSF_s*d_Fam*d_Foffset*acf!C2*d_ET_w*(1/24)*d_EF_w*(1/365)))*1,".")</f>
        <v>283.84788863830778</v>
      </c>
    </row>
    <row r="3" spans="1:18">
      <c r="A3" s="62" t="s">
        <v>7</v>
      </c>
      <c r="B3" s="76" t="s">
        <v>8</v>
      </c>
      <c r="C3" s="61">
        <f>IFERROR((d_DL/(Rad_Spec!V3*d_IFD_w*d_EF_w))*1,".")</f>
        <v>2.7037842163892579E-2</v>
      </c>
      <c r="D3" s="61">
        <f>IFERROR((d_DL/(Rad_Spec!AN3*d_IRA_w*(1/d_PEFm_pp)*d_SLF*d_ET_w*d_EF_w))*1,".")</f>
        <v>1.5359975151056557E-6</v>
      </c>
      <c r="E3" s="61">
        <f>IFERROR((d_DL/(Rad_Spec!AN3*d_IRA_w*(1/d_PEF)*d_SLF*d_ET_w*d_EF_w))*1,".")</f>
        <v>1.1229565592288026E-3</v>
      </c>
      <c r="F3" s="61">
        <f>IFERROR((d_DL/(Rad_Spec!AY3*d_GSF_s*d_Fam*d_Foffset*acf!C3*d_ET_w*(1/24)*d_EF_w*(1/365)))*1,".")</f>
        <v>171.87119862503044</v>
      </c>
      <c r="G3" s="61">
        <f t="shared" ref="G3" si="2">(IF(AND(C3&lt;&gt;".",E3&lt;&gt;".",F3&lt;&gt;"."),1/((1/C3)+(1/E3)+(1/F3)),IF(AND(C3&lt;&gt;".",E3&lt;&gt;".",F3="."), 1/((1/C3)+(1/E3)),IF(AND(C3&lt;&gt;".",E3=".",F3&lt;&gt;"."),1/((1/C3)+(1/F3)),IF(AND(C3=".",E3&lt;&gt;".",F3&lt;&gt;"."),1/((1/E3)+(1/F3)),IF(AND(C3&lt;&gt;".",E3=".",F3="."),1/(1/C3),IF(AND(C3=".",E3&lt;&gt;".",F3="."),1/(1/E3),IF(AND(C3=".",E3=".",F3&lt;&gt;"."),1/(1/F3),IF(AND(C3=".",E3=".",F3="."),".")))))))))</f>
        <v>1.0781701199993926E-3</v>
      </c>
      <c r="H3" s="61">
        <f t="shared" ref="H3" si="3">(IF(AND(C3&lt;&gt;".",D3&lt;&gt;".",F3&lt;&gt;"."),1/((1/C3)+(1/D3)+(1/F3)),IF(AND(C3&lt;&gt;".",D3&lt;&gt;".",F3="."), 1/((1/C3)+(1/D3)),IF(AND(C3&lt;&gt;".",D3=".",F3&lt;&gt;"."),1/((1/C3)+(1/F3)),IF(AND(C3=".",D3&lt;&gt;".",F3&lt;&gt;"."),1/((1/D3)+(1/F3)),IF(AND(C3&lt;&gt;".",D3=".",F3="."),1/(1/C3),IF(AND(C3=".",D3&lt;&gt;".",F3="."),1/(1/D3),IF(AND(C3=".",D3=".",F3&lt;&gt;"."),1/(1/F3),IF(AND(C3=".",D3=".",F3="."),".")))))))))</f>
        <v>1.5359102475848697E-6</v>
      </c>
      <c r="I3" s="74">
        <f>IFERROR((d_DL/(Rad_Spec!AV3*d_GSF_s*d_Fam*d_Foffset*Fsurf!C3*d_EF_w*(1/365)*d_ET_w*(1/24)))*1,".")</f>
        <v>84.584940038431213</v>
      </c>
      <c r="J3" s="61">
        <f>IFERROR((d_DL/(Rad_Spec!AZ3*d_GSF_s*d_Fam*d_Foffset*Fsurf!C3*d_EF_w*(1/365)*d_ET_w*(1/24)))*1,".")</f>
        <v>171.75921497599811</v>
      </c>
      <c r="K3" s="61">
        <f>IFERROR((d_DL/(Rad_Spec!BA3*d_GSF_s*d_Fam*d_Foffset*Fsurf!C3*d_EF_w*(1/365)*d_ET_w*(1/24)))*1,".")</f>
        <v>90.985962527826032</v>
      </c>
      <c r="L3" s="61">
        <f>IFERROR((d_DL/(Rad_Spec!BB3*d_GSF_s*d_Fam*d_Foffset*Fsurf!C3*d_EF_w*(1/365)*d_ET_w*(1/24)))*1,".")</f>
        <v>84.584940038431213</v>
      </c>
      <c r="M3" s="61">
        <f>IFERROR((d_DL/(Rad_Spec!AY3*d_GSF_s*d_Fam*d_Foffset*Fsurf!C3*d_EF_w*(1/365)*d_ET_w*(1/24)))*1,".")</f>
        <v>123.38205213570023</v>
      </c>
      <c r="N3" s="61">
        <f>IFERROR((d_DL/(Rad_Spec!AV3*d_GSF_s*d_Fam*d_Foffset*acf!D3*d_ET_w*(1/24)*d_EF_w*(1/365)))*1,".")</f>
        <v>117.82682147353469</v>
      </c>
      <c r="O3" s="61">
        <f>IFERROR((d_DL/(Rad_Spec!AZ3*d_GSF_s*d_Fam*d_Foffset*acf!E3*d_ET_w*(1/24)*d_EF_w*(1/365)))*1,".")</f>
        <v>239.26058646156534</v>
      </c>
      <c r="P3" s="61">
        <f>IFERROR((d_DL/(Rad_Spec!BA3*d_GSF_s*d_Fam*d_Foffset*acf!F3*d_ET_w*(1/24)*d_EF_w*(1/365)))*1,".")</f>
        <v>126.74344580126166</v>
      </c>
      <c r="Q3" s="61">
        <f>IFERROR((d_DL/(Rad_Spec!BB3*d_GSF_s*d_Fam*d_Foffset*acf!G3*d_ET_w*(1/24)*d_EF_w*(1/365)))*1,".")</f>
        <v>117.82682147353469</v>
      </c>
      <c r="R3" s="61">
        <f>IFERROR((d_DL/(Rad_Spec!AY3*d_GSF_s*d_Fam*d_Foffset*acf!C3*d_ET_w*(1/24)*d_EF_w*(1/365)))*1,".")</f>
        <v>171.87119862503044</v>
      </c>
    </row>
    <row r="4" spans="1:18">
      <c r="A4" s="60" t="s">
        <v>9</v>
      </c>
      <c r="B4" s="88" t="s">
        <v>6</v>
      </c>
      <c r="C4" s="61" t="str">
        <f>IFERROR((d_DL/(Rad_Spec!V4*d_IFD_w*d_EF_w))*1,".")</f>
        <v>.</v>
      </c>
      <c r="D4" s="61" t="str">
        <f>IFERROR((d_DL/(Rad_Spec!AN4*d_IRA_w*(1/d_PEFm_pp)*d_SLF*d_ET_w*d_EF_w))*1,".")</f>
        <v>.</v>
      </c>
      <c r="E4" s="61" t="str">
        <f>IFERROR((d_DL/(Rad_Spec!AN4*d_IRA_w*(1/d_PEF)*d_SLF*d_ET_w*d_EF_w))*1,".")</f>
        <v>.</v>
      </c>
      <c r="F4" s="61">
        <f>IFERROR((d_DL/(Rad_Spec!AY4*d_GSF_s*d_Fam*d_Foffset*acf!C4*d_ET_w*(1/24)*d_EF_w*(1/365)))*1,".")</f>
        <v>16505.692202756221</v>
      </c>
      <c r="G4" s="61">
        <f t="shared" ref="G4:G13" si="4">(IF(AND(C4&lt;&gt;".",E4&lt;&gt;".",F4&lt;&gt;"."),1/((1/C4)+(1/E4)+(1/F4)),IF(AND(C4&lt;&gt;".",E4&lt;&gt;".",F4="."), 1/((1/C4)+(1/E4)),IF(AND(C4&lt;&gt;".",E4=".",F4&lt;&gt;"."),1/((1/C4)+(1/F4)),IF(AND(C4=".",E4&lt;&gt;".",F4&lt;&gt;"."),1/((1/E4)+(1/F4)),IF(AND(C4&lt;&gt;".",E4=".",F4="."),1/(1/C4),IF(AND(C4=".",E4&lt;&gt;".",F4="."),1/(1/E4),IF(AND(C4=".",E4=".",F4&lt;&gt;"."),1/(1/F4),IF(AND(C4=".",E4=".",F4="."),".")))))))))</f>
        <v>16505.692202756221</v>
      </c>
      <c r="H4" s="61">
        <f t="shared" ref="H4:H13" si="5">(IF(AND(C4&lt;&gt;".",D4&lt;&gt;".",F4&lt;&gt;"."),1/((1/C4)+(1/D4)+(1/F4)),IF(AND(C4&lt;&gt;".",D4&lt;&gt;".",F4="."), 1/((1/C4)+(1/D4)),IF(AND(C4&lt;&gt;".",D4=".",F4&lt;&gt;"."),1/((1/C4)+(1/F4)),IF(AND(C4=".",D4&lt;&gt;".",F4&lt;&gt;"."),1/((1/D4)+(1/F4)),IF(AND(C4&lt;&gt;".",D4=".",F4="."),1/(1/C4),IF(AND(C4=".",D4&lt;&gt;".",F4="."),1/(1/D4),IF(AND(C4=".",D4=".",F4&lt;&gt;"."),1/(1/F4),IF(AND(C4=".",D4=".",F4="."),".")))))))))</f>
        <v>16505.692202756221</v>
      </c>
      <c r="I4" s="74">
        <f>IFERROR((d_DL/(Rad_Spec!AV4*d_GSF_s*d_Fam*d_Foffset*Fsurf!C4*d_EF_w*(1/365)*d_ET_w*(1/24)))*1,".")</f>
        <v>3046.6382725544299</v>
      </c>
      <c r="J4" s="61">
        <f>IFERROR((d_DL/(Rad_Spec!AZ4*d_GSF_s*d_Fam*d_Foffset*Fsurf!C4*d_EF_w*(1/365)*d_ET_w*(1/24)))*1,".")</f>
        <v>13434.828493555995</v>
      </c>
      <c r="K4" s="61">
        <f>IFERROR((d_DL/(Rad_Spec!BA4*d_GSF_s*d_Fam*d_Foffset*Fsurf!C4*d_EF_w*(1/365)*d_ET_w*(1/24)))*1,".")</f>
        <v>4812.4758782887138</v>
      </c>
      <c r="L4" s="61">
        <f>IFERROR((d_DL/(Rad_Spec!BB4*d_GSF_s*d_Fam*d_Foffset*Fsurf!C4*d_EF_w*(1/365)*d_ET_w*(1/24)))*1,".")</f>
        <v>3256.9281196499378</v>
      </c>
      <c r="M4" s="61">
        <f>IFERROR((d_DL/(Rad_Spec!AY4*d_GSF_s*d_Fam*d_Foffset*Fsurf!C4*d_EF_w*(1/365)*d_ET_w*(1/24)))*1,".")</f>
        <v>13618.557923066192</v>
      </c>
      <c r="N4" s="61">
        <f>IFERROR((d_DL/(Rad_Spec!AV4*d_GSF_s*d_Fam*d_Foffset*acf!D4*d_ET_w*(1/24)*d_EF_w*(1/365)))*1,".")</f>
        <v>3692.5255863359694</v>
      </c>
      <c r="O4" s="61">
        <f>IFERROR((d_DL/(Rad_Spec!AZ4*d_GSF_s*d_Fam*d_Foffset*acf!E4*d_ET_w*(1/24)*d_EF_w*(1/365)))*1,".")</f>
        <v>16283.012134189863</v>
      </c>
      <c r="P4" s="61">
        <f>IFERROR((d_DL/(Rad_Spec!BA4*d_GSF_s*d_Fam*d_Foffset*acf!F4*d_ET_w*(1/24)*d_EF_w*(1/365)))*1,".")</f>
        <v>5832.7207644859218</v>
      </c>
      <c r="Q4" s="61">
        <f>IFERROR((d_DL/(Rad_Spec!BB4*d_GSF_s*d_Fam*d_Foffset*acf!G4*d_ET_w*(1/24)*d_EF_w*(1/365)))*1,".")</f>
        <v>3947.3968810157248</v>
      </c>
      <c r="R4" s="61">
        <f>IFERROR((d_DL/(Rad_Spec!AY4*d_GSF_s*d_Fam*d_Foffset*acf!C4*d_ET_w*(1/24)*d_EF_w*(1/365)))*1,".")</f>
        <v>16505.692202756221</v>
      </c>
    </row>
    <row r="5" spans="1:18">
      <c r="A5" s="60" t="s">
        <v>10</v>
      </c>
      <c r="B5" s="88" t="s">
        <v>6</v>
      </c>
      <c r="C5" s="61" t="str">
        <f>IFERROR((d_DL/(Rad_Spec!V5*d_IFD_w*d_EF_w))*1,".")</f>
        <v>.</v>
      </c>
      <c r="D5" s="61" t="str">
        <f>IFERROR((d_DL/(Rad_Spec!AN5*d_IRA_w*(1/d_PEFm_pp)*d_SLF*d_ET_w*d_EF_w))*1,".")</f>
        <v>.</v>
      </c>
      <c r="E5" s="61" t="str">
        <f>IFERROR((d_DL/(Rad_Spec!AN5*d_IRA_w*(1/d_PEF)*d_SLF*d_ET_w*d_EF_w))*1,".")</f>
        <v>.</v>
      </c>
      <c r="F5" s="61">
        <f>IFERROR((d_DL/(Rad_Spec!AY5*d_GSF_s*d_Fam*d_Foffset*acf!C5*d_ET_w*(1/24)*d_EF_w*(1/365)))*1,".")</f>
        <v>33304.818933561444</v>
      </c>
      <c r="G5" s="61">
        <f t="shared" si="4"/>
        <v>33304.818933561444</v>
      </c>
      <c r="H5" s="61">
        <f t="shared" si="5"/>
        <v>33304.818933561444</v>
      </c>
      <c r="I5" s="74">
        <f>IFERROR((d_DL/(Rad_Spec!AV5*d_GSF_s*d_Fam*d_Foffset*Fsurf!C5*d_EF_w*(1/365)*d_ET_w*(1/24)))*1,".")</f>
        <v>52630.777026853277</v>
      </c>
      <c r="J5" s="61">
        <f>IFERROR((d_DL/(Rad_Spec!AZ5*d_GSF_s*d_Fam*d_Foffset*Fsurf!C5*d_EF_w*(1/365)*d_ET_w*(1/24)))*1,".")</f>
        <v>92804.565408297494</v>
      </c>
      <c r="K5" s="61">
        <f>IFERROR((d_DL/(Rad_Spec!BA5*d_GSF_s*d_Fam*d_Foffset*Fsurf!C5*d_EF_w*(1/365)*d_ET_w*(1/24)))*1,".")</f>
        <v>66177.095164566563</v>
      </c>
      <c r="L5" s="61">
        <f>IFERROR((d_DL/(Rad_Spec!BB5*d_GSF_s*d_Fam*d_Foffset*Fsurf!C5*d_EF_w*(1/365)*d_ET_w*(1/24)))*1,".")</f>
        <v>54839.061377630351</v>
      </c>
      <c r="M5" s="61">
        <f>IFERROR((d_DL/(Rad_Spec!AY5*d_GSF_s*d_Fam*d_Foffset*Fsurf!C5*d_EF_w*(1/365)*d_ET_w*(1/24)))*1,".")</f>
        <v>20049.723772712579</v>
      </c>
      <c r="N5" s="61">
        <f>IFERROR((d_DL/(Rad_Spec!AV5*d_GSF_s*d_Fam*d_Foffset*acf!D5*d_ET_w*(1/24)*d_EF_w*(1/365)))*1,".")</f>
        <v>87425.568505717383</v>
      </c>
      <c r="O5" s="61">
        <f>IFERROR((d_DL/(Rad_Spec!AZ5*d_GSF_s*d_Fam*d_Foffset*acf!E5*d_ET_w*(1/24)*d_EF_w*(1/365)))*1,".")</f>
        <v>154158.69476156082</v>
      </c>
      <c r="P5" s="61">
        <f>IFERROR((d_DL/(Rad_Spec!BA5*d_GSF_s*d_Fam*d_Foffset*acf!F5*d_ET_w*(1/24)*d_EF_w*(1/365)))*1,".")</f>
        <v>109927.50807891892</v>
      </c>
      <c r="Q5" s="61">
        <f>IFERROR((d_DL/(Rad_Spec!BB5*d_GSF_s*d_Fam*d_Foffset*acf!G5*d_ET_w*(1/24)*d_EF_w*(1/365)))*1,".")</f>
        <v>91093.774177285974</v>
      </c>
      <c r="R5" s="61">
        <f>IFERROR((d_DL/(Rad_Spec!AY5*d_GSF_s*d_Fam*d_Foffset*acf!C5*d_ET_w*(1/24)*d_EF_w*(1/365)))*1,".")</f>
        <v>33304.818933561444</v>
      </c>
    </row>
    <row r="6" spans="1:18">
      <c r="A6" s="60" t="s">
        <v>11</v>
      </c>
      <c r="B6" s="88" t="s">
        <v>6</v>
      </c>
      <c r="C6" s="61" t="str">
        <f>IFERROR((d_DL/(Rad_Spec!V6*d_IFD_w*d_EF_w))*1,".")</f>
        <v>.</v>
      </c>
      <c r="D6" s="61" t="str">
        <f>IFERROR((d_DL/(Rad_Spec!AN6*d_IRA_w*(1/d_PEFm_pp)*d_SLF*d_ET_w*d_EF_w))*1,".")</f>
        <v>.</v>
      </c>
      <c r="E6" s="61" t="str">
        <f>IFERROR((d_DL/(Rad_Spec!AN6*d_IRA_w*(1/d_PEF)*d_SLF*d_ET_w*d_EF_w))*1,".")</f>
        <v>.</v>
      </c>
      <c r="F6" s="61">
        <f>IFERROR((d_DL/(Rad_Spec!AY6*d_GSF_s*d_Fam*d_Foffset*acf!C6*d_ET_w*(1/24)*d_EF_w*(1/365)))*1,".")</f>
        <v>6.493573882193524</v>
      </c>
      <c r="G6" s="61">
        <f t="shared" si="4"/>
        <v>6.493573882193524</v>
      </c>
      <c r="H6" s="61">
        <f t="shared" si="5"/>
        <v>6.493573882193524</v>
      </c>
      <c r="I6" s="74">
        <f>IFERROR((d_DL/(Rad_Spec!AV6*d_GSF_s*d_Fam*d_Foffset*Fsurf!C6*d_EF_w*(1/365)*d_ET_w*(1/24)))*1,".")</f>
        <v>1.088608453188793</v>
      </c>
      <c r="J6" s="61">
        <f>IFERROR((d_DL/(Rad_Spec!AZ6*d_GSF_s*d_Fam*d_Foffset*Fsurf!C6*d_EF_w*(1/365)*d_ET_w*(1/24)))*1,".")</f>
        <v>5.4732813896436525</v>
      </c>
      <c r="K6" s="61">
        <f>IFERROR((d_DL/(Rad_Spec!BA6*d_GSF_s*d_Fam*d_Foffset*Fsurf!C6*d_EF_w*(1/365)*d_ET_w*(1/24)))*1,".")</f>
        <v>1.9129915536618587</v>
      </c>
      <c r="L6" s="61">
        <f>IFERROR((d_DL/(Rad_Spec!BB6*d_GSF_s*d_Fam*d_Foffset*Fsurf!C6*d_EF_w*(1/365)*d_ET_w*(1/24)))*1,".")</f>
        <v>1.2238393169389532</v>
      </c>
      <c r="M6" s="61">
        <f>IFERROR((d_DL/(Rad_Spec!AY6*d_GSF_s*d_Fam*d_Foffset*Fsurf!C6*d_EF_w*(1/365)*d_ET_w*(1/24)))*1,".")</f>
        <v>5.4567847749525411</v>
      </c>
      <c r="N6" s="61">
        <f>IFERROR((d_DL/(Rad_Spec!AV6*d_GSF_s*d_Fam*d_Foffset*acf!D6*d_ET_w*(1/24)*d_EF_w*(1/365)))*1,".")</f>
        <v>1.2954440592946632</v>
      </c>
      <c r="O6" s="61">
        <f>IFERROR((d_DL/(Rad_Spec!AZ6*d_GSF_s*d_Fam*d_Foffset*acf!E6*d_ET_w*(1/24)*d_EF_w*(1/365)))*1,".")</f>
        <v>6.5132048536759459</v>
      </c>
      <c r="P6" s="61">
        <f>IFERROR((d_DL/(Rad_Spec!BA6*d_GSF_s*d_Fam*d_Foffset*acf!F6*d_ET_w*(1/24)*d_EF_w*(1/365)))*1,".")</f>
        <v>2.2764599488576125</v>
      </c>
      <c r="Q6" s="61">
        <f>IFERROR((d_DL/(Rad_Spec!BB6*d_GSF_s*d_Fam*d_Foffset*acf!G6*d_ET_w*(1/24)*d_EF_w*(1/365)))*1,".")</f>
        <v>1.4563687871573545</v>
      </c>
      <c r="R6" s="61">
        <f>IFERROR((d_DL/(Rad_Spec!AY6*d_GSF_s*d_Fam*d_Foffset*acf!C6*d_ET_w*(1/24)*d_EF_w*(1/365)))*1,".")</f>
        <v>6.493573882193524</v>
      </c>
    </row>
    <row r="7" spans="1:18">
      <c r="A7" s="60" t="s">
        <v>12</v>
      </c>
      <c r="B7" s="88" t="s">
        <v>6</v>
      </c>
      <c r="C7" s="61">
        <f>IFERROR((d_DL/(Rad_Spec!V7*d_IFD_w*d_EF_w))*1,".")</f>
        <v>4.2104731308657151</v>
      </c>
      <c r="D7" s="61">
        <f>IFERROR((d_DL/(Rad_Spec!AN7*d_IRA_w*(1/d_PEFm_pp)*d_SLF*d_ET_w*d_EF_w))*1,".")</f>
        <v>1.0320640837798961E-3</v>
      </c>
      <c r="E7" s="61">
        <f>IFERROR((d_DL/(Rad_Spec!AN7*d_IRA_w*(1/d_PEF)*d_SLF*d_ET_w*d_EF_w))*1,".")</f>
        <v>0.75453451000236682</v>
      </c>
      <c r="F7" s="61">
        <f>IFERROR((d_DL/(Rad_Spec!AY7*d_GSF_s*d_Fam*d_Foffset*acf!C7*d_ET_w*(1/24)*d_EF_w*(1/365)))*1,".")</f>
        <v>106.74621453064566</v>
      </c>
      <c r="G7" s="61">
        <f t="shared" si="4"/>
        <v>0.63605485518860572</v>
      </c>
      <c r="H7" s="61">
        <f t="shared" si="5"/>
        <v>1.0318011945517069E-3</v>
      </c>
      <c r="I7" s="74">
        <f>IFERROR((d_DL/(Rad_Spec!AV7*d_GSF_s*d_Fam*d_Foffset*Fsurf!C7*d_EF_w*(1/365)*d_ET_w*(1/24)))*1,".")</f>
        <v>638.16367754879707</v>
      </c>
      <c r="J7" s="61">
        <f>IFERROR((d_DL/(Rad_Spec!AZ7*d_GSF_s*d_Fam*d_Foffset*Fsurf!C7*d_EF_w*(1/365)*d_ET_w*(1/24)))*1,".")</f>
        <v>1112.9878423916516</v>
      </c>
      <c r="K7" s="61">
        <f>IFERROR((d_DL/(Rad_Spec!BA7*d_GSF_s*d_Fam*d_Foffset*Fsurf!C7*d_EF_w*(1/365)*d_ET_w*(1/24)))*1,".")</f>
        <v>769.47307622138885</v>
      </c>
      <c r="L7" s="61">
        <f>IFERROR((d_DL/(Rad_Spec!BB7*d_GSF_s*d_Fam*d_Foffset*Fsurf!C7*d_EF_w*(1/365)*d_ET_w*(1/24)))*1,".")</f>
        <v>651.50507847316203</v>
      </c>
      <c r="M7" s="61">
        <f>IFERROR((d_DL/(Rad_Spec!AY7*d_GSF_s*d_Fam*d_Foffset*Fsurf!C7*d_EF_w*(1/365)*d_ET_w*(1/24)))*1,".")</f>
        <v>85.124572990945495</v>
      </c>
      <c r="N7" s="61">
        <f>IFERROR((d_DL/(Rad_Spec!AV7*d_GSF_s*d_Fam*d_Foffset*acf!D7*d_ET_w*(1/24)*d_EF_w*(1/365)))*1,".")</f>
        <v>800.25725164619132</v>
      </c>
      <c r="O7" s="61">
        <f>IFERROR((d_DL/(Rad_Spec!AZ7*d_GSF_s*d_Fam*d_Foffset*acf!E7*d_ET_w*(1/24)*d_EF_w*(1/365)))*1,".")</f>
        <v>1395.6867543591311</v>
      </c>
      <c r="P7" s="61">
        <f>IFERROR((d_DL/(Rad_Spec!BA7*d_GSF_s*d_Fam*d_Foffset*acf!F7*d_ET_w*(1/24)*d_EF_w*(1/365)))*1,".")</f>
        <v>964.91923758162159</v>
      </c>
      <c r="Q7" s="61">
        <f>IFERROR((d_DL/(Rad_Spec!BB7*d_GSF_s*d_Fam*d_Foffset*acf!G7*d_ET_w*(1/24)*d_EF_w*(1/365)))*1,".")</f>
        <v>816.98736840534502</v>
      </c>
      <c r="R7" s="61">
        <f>IFERROR((d_DL/(Rad_Spec!AY7*d_GSF_s*d_Fam*d_Foffset*acf!C7*d_ET_w*(1/24)*d_EF_w*(1/365)))*1,".")</f>
        <v>106.74621453064566</v>
      </c>
    </row>
    <row r="8" spans="1:18">
      <c r="A8" s="60" t="s">
        <v>13</v>
      </c>
      <c r="B8" s="88" t="s">
        <v>6</v>
      </c>
      <c r="C8" s="61">
        <f>IFERROR((d_DL/(Rad_Spec!V8*d_IFD_w*d_EF_w))*1,".")</f>
        <v>27.857170714313568</v>
      </c>
      <c r="D8" s="61">
        <f>IFERROR((d_DL/(Rad_Spec!AN8*d_IRA_w*(1/d_PEFm_pp)*d_SLF*d_ET_w*d_EF_w))*1,".")</f>
        <v>4.2445452459680235E-3</v>
      </c>
      <c r="E8" s="61">
        <f>IFERROR((d_DL/(Rad_Spec!AN8*d_IRA_w*(1/d_PEF)*d_SLF*d_ET_w*d_EF_w))*1,".")</f>
        <v>3.1031560129674802</v>
      </c>
      <c r="F8" s="61">
        <f>IFERROR((d_DL/(Rad_Spec!AY8*d_GSF_s*d_Fam*d_Foffset*acf!C8*d_ET_w*(1/24)*d_EF_w*(1/365)))*1,".")</f>
        <v>22.846293475766238</v>
      </c>
      <c r="G8" s="61">
        <f t="shared" si="4"/>
        <v>2.4880527057841419</v>
      </c>
      <c r="H8" s="61">
        <f t="shared" si="5"/>
        <v>4.2431104162066434E-3</v>
      </c>
      <c r="I8" s="74">
        <f>IFERROR((d_DL/(Rad_Spec!AV8*d_GSF_s*d_Fam*d_Foffset*Fsurf!C8*d_EF_w*(1/365)*d_ET_w*(1/24)))*1,".")</f>
        <v>5.252772830843714</v>
      </c>
      <c r="J8" s="61">
        <f>IFERROR((d_DL/(Rad_Spec!AZ8*d_GSF_s*d_Fam*d_Foffset*Fsurf!C8*d_EF_w*(1/365)*d_ET_w*(1/24)))*1,".")</f>
        <v>24.31472203459732</v>
      </c>
      <c r="K8" s="61">
        <f>IFERROR((d_DL/(Rad_Spec!BA8*d_GSF_s*d_Fam*d_Foffset*Fsurf!C8*d_EF_w*(1/365)*d_ET_w*(1/24)))*1,".")</f>
        <v>8.7072991069841734</v>
      </c>
      <c r="L8" s="61">
        <f>IFERROR((d_DL/(Rad_Spec!BB8*d_GSF_s*d_Fam*d_Foffset*Fsurf!C8*d_EF_w*(1/365)*d_ET_w*(1/24)))*1,".")</f>
        <v>5.735965583829338</v>
      </c>
      <c r="M8" s="61">
        <f>IFERROR((d_DL/(Rad_Spec!AY8*d_GSF_s*d_Fam*d_Foffset*Fsurf!C8*d_EF_w*(1/365)*d_ET_w*(1/24)))*1,".")</f>
        <v>18.834537078125503</v>
      </c>
      <c r="N8" s="61">
        <f>IFERROR((d_DL/(Rad_Spec!AV8*d_GSF_s*d_Fam*d_Foffset*acf!D8*d_ET_w*(1/24)*d_EF_w*(1/365)))*1,".")</f>
        <v>6.3716134438134251</v>
      </c>
      <c r="O8" s="61">
        <f>IFERROR((d_DL/(Rad_Spec!AZ8*d_GSF_s*d_Fam*d_Foffset*acf!E8*d_ET_w*(1/24)*d_EF_w*(1/365)))*1,".")</f>
        <v>29.493757827966551</v>
      </c>
      <c r="P8" s="61">
        <f>IFERROR((d_DL/(Rad_Spec!BA8*d_GSF_s*d_Fam*d_Foffset*acf!F8*d_ET_w*(1/24)*d_EF_w*(1/365)))*1,".")</f>
        <v>10.561953816771803</v>
      </c>
      <c r="Q8" s="61">
        <f>IFERROR((d_DL/(Rad_Spec!BB8*d_GSF_s*d_Fam*d_Foffset*acf!G8*d_ET_w*(1/24)*d_EF_w*(1/365)))*1,".")</f>
        <v>6.9577262531849868</v>
      </c>
      <c r="R8" s="61">
        <f>IFERROR((d_DL/(Rad_Spec!AY8*d_GSF_s*d_Fam*d_Foffset*acf!C8*d_ET_w*(1/24)*d_EF_w*(1/365)))*1,".")</f>
        <v>22.846293475766238</v>
      </c>
    </row>
    <row r="9" spans="1:18">
      <c r="A9" s="60" t="s">
        <v>14</v>
      </c>
      <c r="B9" s="88" t="s">
        <v>6</v>
      </c>
      <c r="C9" s="61">
        <f>IFERROR((d_DL/(Rad_Spec!V9*d_IFD_w*d_EF_w))*1,".")</f>
        <v>49.247498227090063</v>
      </c>
      <c r="D9" s="61">
        <f>IFERROR((d_DL/(Rad_Spec!AN9*d_IRA_w*(1/d_PEFm_pp)*d_SLF*d_ET_w*d_EF_w))*1,".")</f>
        <v>1.5232814701035517E-2</v>
      </c>
      <c r="E9" s="61">
        <f>IFERROR((d_DL/(Rad_Spec!AN9*d_IRA_w*(1/d_PEF)*d_SLF*d_ET_w*d_EF_w))*1,".")</f>
        <v>11.13659951648302</v>
      </c>
      <c r="F9" s="61">
        <f>IFERROR((d_DL/(Rad_Spec!AY9*d_GSF_s*d_Fam*d_Foffset*acf!C9*d_ET_w*(1/24)*d_EF_w*(1/365)))*1,".")</f>
        <v>2.6385860070603262</v>
      </c>
      <c r="G9" s="61">
        <f t="shared" si="4"/>
        <v>2.0446114424338724</v>
      </c>
      <c r="H9" s="61">
        <f t="shared" si="5"/>
        <v>1.5140722631897146E-2</v>
      </c>
      <c r="I9" s="74">
        <f>IFERROR((d_DL/(Rad_Spec!AV9*d_GSF_s*d_Fam*d_Foffset*Fsurf!C9*d_EF_w*(1/365)*d_ET_w*(1/24)))*1,".")</f>
        <v>0.41515129335835838</v>
      </c>
      <c r="J9" s="61">
        <f>IFERROR((d_DL/(Rad_Spec!AZ9*d_GSF_s*d_Fam*d_Foffset*Fsurf!C9*d_EF_w*(1/365)*d_ET_w*(1/24)))*1,".")</f>
        <v>2.3280846611495098</v>
      </c>
      <c r="K9" s="61">
        <f>IFERROR((d_DL/(Rad_Spec!BA9*d_GSF_s*d_Fam*d_Foffset*Fsurf!C9*d_EF_w*(1/365)*d_ET_w*(1/24)))*1,".")</f>
        <v>0.80559120020729069</v>
      </c>
      <c r="L9" s="61">
        <f>IFERROR((d_DL/(Rad_Spec!BB9*d_GSF_s*d_Fam*d_Foffset*Fsurf!C9*d_EF_w*(1/365)*d_ET_w*(1/24)))*1,".")</f>
        <v>0.49757103542215025</v>
      </c>
      <c r="M9" s="61">
        <f>IFERROR((d_DL/(Rad_Spec!AY9*d_GSF_s*d_Fam*d_Foffset*Fsurf!C9*d_EF_w*(1/365)*d_ET_w*(1/24)))*1,".")</f>
        <v>2.2844900494028795</v>
      </c>
      <c r="N9" s="61">
        <f>IFERROR((d_DL/(Rad_Spec!AV9*d_GSF_s*d_Fam*d_Foffset*acf!D9*d_ET_w*(1/24)*d_EF_w*(1/365)))*1,".")</f>
        <v>0.47949974382890409</v>
      </c>
      <c r="O9" s="61">
        <f>IFERROR((d_DL/(Rad_Spec!AZ9*d_GSF_s*d_Fam*d_Foffset*acf!E9*d_ET_w*(1/24)*d_EF_w*(1/365)))*1,".")</f>
        <v>2.6889377836276842</v>
      </c>
      <c r="P9" s="61">
        <f>IFERROR((d_DL/(Rad_Spec!BA9*d_GSF_s*d_Fam*d_Foffset*acf!F9*d_ET_w*(1/24)*d_EF_w*(1/365)))*1,".")</f>
        <v>0.93045783623942069</v>
      </c>
      <c r="Q9" s="61">
        <f>IFERROR((d_DL/(Rad_Spec!BB9*d_GSF_s*d_Fam*d_Foffset*acf!G9*d_ET_w*(1/24)*d_EF_w*(1/365)))*1,".")</f>
        <v>0.57469454591258362</v>
      </c>
      <c r="R9" s="61">
        <f>IFERROR((d_DL/(Rad_Spec!AY9*d_GSF_s*d_Fam*d_Foffset*acf!C9*d_ET_w*(1/24)*d_EF_w*(1/365)))*1,".")</f>
        <v>2.6385860070603262</v>
      </c>
    </row>
    <row r="10" spans="1:18">
      <c r="A10" s="62" t="s">
        <v>15</v>
      </c>
      <c r="B10" s="88" t="s">
        <v>8</v>
      </c>
      <c r="C10" s="61">
        <f>IFERROR((d_DL/(Rad_Spec!V10*d_IFD_w*d_EF_w))*1,".")</f>
        <v>0.40556763245838878</v>
      </c>
      <c r="D10" s="61">
        <f>IFERROR((d_DL/(Rad_Spec!AN10*d_IRA_w*(1/d_PEFm_pp)*d_SLF*d_ET_w*d_EF_w))*1,".")</f>
        <v>3.613461780140644E-3</v>
      </c>
      <c r="E10" s="61">
        <f>IFERROR((d_DL/(Rad_Spec!AN10*d_IRA_w*(1/d_PEF)*d_SLF*d_ET_w*d_EF_w))*1,".")</f>
        <v>2.6417755026461762</v>
      </c>
      <c r="F10" s="61">
        <f>IFERROR((d_DL/(Rad_Spec!AY10*d_GSF_s*d_Fam*d_Foffset*acf!C10*d_ET_w*(1/24)*d_EF_w*(1/365)))*1,".")</f>
        <v>1197.0581885066017</v>
      </c>
      <c r="G10" s="61">
        <f t="shared" si="4"/>
        <v>0.35148783443699688</v>
      </c>
      <c r="H10" s="61">
        <f t="shared" si="5"/>
        <v>3.5815407287147481E-3</v>
      </c>
      <c r="I10" s="74">
        <f>IFERROR((d_DL/(Rad_Spec!AV10*d_GSF_s*d_Fam*d_Foffset*Fsurf!C10*d_EF_w*(1/365)*d_ET_w*(1/24)))*1,".")</f>
        <v>4021.1173660601621</v>
      </c>
      <c r="J10" s="61">
        <f>IFERROR((d_DL/(Rad_Spec!AZ10*d_GSF_s*d_Fam*d_Foffset*Fsurf!C10*d_EF_w*(1/365)*d_ET_w*(1/24)))*1,".")</f>
        <v>8696.8352335719756</v>
      </c>
      <c r="K10" s="61">
        <f>IFERROR((d_DL/(Rad_Spec!BA10*d_GSF_s*d_Fam*d_Foffset*Fsurf!C10*d_EF_w*(1/365)*d_ET_w*(1/24)))*1,".")</f>
        <v>4986.1855339146005</v>
      </c>
      <c r="L10" s="61">
        <f>IFERROR((d_DL/(Rad_Spec!BB10*d_GSF_s*d_Fam*d_Foffset*Fsurf!C10*d_EF_w*(1/365)*d_ET_w*(1/24)))*1,".")</f>
        <v>4091.5089173259853</v>
      </c>
      <c r="M10" s="61">
        <f>IFERROR((d_DL/(Rad_Spec!AY10*d_GSF_s*d_Fam*d_Foffset*Fsurf!C10*d_EF_w*(1/365)*d_ET_w*(1/24)))*1,".")</f>
        <v>954.59185686331853</v>
      </c>
      <c r="N10" s="61">
        <f>IFERROR((d_DL/(Rad_Spec!AV10*d_GSF_s*d_Fam*d_Foffset*acf!D10*d_ET_w*(1/24)*d_EF_w*(1/365)))*1,".")</f>
        <v>5042.4811770394417</v>
      </c>
      <c r="O10" s="61">
        <f>IFERROR((d_DL/(Rad_Spec!AZ10*d_GSF_s*d_Fam*d_Foffset*acf!E10*d_ET_w*(1/24)*d_EF_w*(1/365)))*1,".")</f>
        <v>10905.831382899256</v>
      </c>
      <c r="P10" s="61">
        <f>IFERROR((d_DL/(Rad_Spec!BA10*d_GSF_s*d_Fam*d_Foffset*acf!F10*d_ET_w*(1/24)*d_EF_w*(1/365)))*1,".")</f>
        <v>6252.6766595289082</v>
      </c>
      <c r="Q10" s="61">
        <f>IFERROR((d_DL/(Rad_Spec!BB10*d_GSF_s*d_Fam*d_Foffset*acf!G10*d_ET_w*(1/24)*d_EF_w*(1/365)))*1,".")</f>
        <v>5130.7521823267844</v>
      </c>
      <c r="R10" s="61">
        <f>IFERROR((d_DL/(Rad_Spec!AY10*d_GSF_s*d_Fam*d_Foffset*acf!C10*d_ET_w*(1/24)*d_EF_w*(1/365)))*1,".")</f>
        <v>1197.0581885066017</v>
      </c>
    </row>
    <row r="11" spans="1:18">
      <c r="A11" s="60" t="s">
        <v>16</v>
      </c>
      <c r="B11" s="88" t="s">
        <v>6</v>
      </c>
      <c r="C11" s="61" t="str">
        <f>IFERROR((d_DL/(Rad_Spec!V11*d_IFD_w*d_EF_w))*1,".")</f>
        <v>.</v>
      </c>
      <c r="D11" s="61" t="str">
        <f>IFERROR((d_DL/(Rad_Spec!AN11*d_IRA_w*(1/d_PEFm_pp)*d_SLF*d_ET_w*d_EF_w))*1,".")</f>
        <v>.</v>
      </c>
      <c r="E11" s="61" t="str">
        <f>IFERROR((d_DL/(Rad_Spec!AN11*d_IRA_w*(1/d_PEF)*d_SLF*d_ET_w*d_EF_w))*1,".")</f>
        <v>.</v>
      </c>
      <c r="F11" s="61">
        <f>IFERROR((d_DL/(Rad_Spec!AY11*d_GSF_s*d_Fam*d_Foffset*acf!C11*d_ET_w*(1/24)*d_EF_w*(1/365)))*1,".")</f>
        <v>139.28595278905811</v>
      </c>
      <c r="G11" s="61">
        <f t="shared" si="4"/>
        <v>139.28595278905811</v>
      </c>
      <c r="H11" s="61">
        <f t="shared" si="5"/>
        <v>139.28595278905811</v>
      </c>
      <c r="I11" s="74">
        <f>IFERROR((d_DL/(Rad_Spec!AV11*d_GSF_s*d_Fam*d_Foffset*Fsurf!C11*d_EF_w*(1/365)*d_ET_w*(1/24)))*1,".")</f>
        <v>25.91469409517649</v>
      </c>
      <c r="J11" s="61">
        <f>IFERROR((d_DL/(Rad_Spec!AZ11*d_GSF_s*d_Fam*d_Foffset*Fsurf!C11*d_EF_w*(1/365)*d_ET_w*(1/24)))*1,".")</f>
        <v>108.05366602257801</v>
      </c>
      <c r="K11" s="61">
        <f>IFERROR((d_DL/(Rad_Spec!BA11*d_GSF_s*d_Fam*d_Foffset*Fsurf!C11*d_EF_w*(1/365)*d_ET_w*(1/24)))*1,".")</f>
        <v>38.655181777951547</v>
      </c>
      <c r="L11" s="61">
        <f>IFERROR((d_DL/(Rad_Spec!BB11*d_GSF_s*d_Fam*d_Foffset*Fsurf!C11*d_EF_w*(1/365)*d_ET_w*(1/24)))*1,".")</f>
        <v>26.934660189301518</v>
      </c>
      <c r="M11" s="61">
        <f>IFERROR((d_DL/(Rad_Spec!AY11*d_GSF_s*d_Fam*d_Foffset*Fsurf!C11*d_EF_w*(1/365)*d_ET_w*(1/24)))*1,".")</f>
        <v>109.76040408909232</v>
      </c>
      <c r="N11" s="61">
        <f>IFERROR((d_DL/(Rad_Spec!AV11*d_GSF_s*d_Fam*d_Foffset*acf!D11*d_ET_w*(1/24)*d_EF_w*(1/365)))*1,".")</f>
        <v>32.885746806778968</v>
      </c>
      <c r="O11" s="61">
        <f>IFERROR((d_DL/(Rad_Spec!AZ11*d_GSF_s*d_Fam*d_Foffset*acf!E11*d_ET_w*(1/24)*d_EF_w*(1/365)))*1,".")</f>
        <v>137.12010218265149</v>
      </c>
      <c r="P11" s="61">
        <f>IFERROR((d_DL/(Rad_Spec!BA11*d_GSF_s*d_Fam*d_Foffset*acf!F11*d_ET_w*(1/24)*d_EF_w*(1/365)))*1,".")</f>
        <v>49.053425676220506</v>
      </c>
      <c r="Q11" s="61">
        <f>IFERROR((d_DL/(Rad_Spec!BB11*d_GSF_s*d_Fam*d_Foffset*acf!G11*d_ET_w*(1/24)*d_EF_w*(1/365)))*1,".")</f>
        <v>34.180083780223626</v>
      </c>
      <c r="R11" s="61">
        <f>IFERROR((d_DL/(Rad_Spec!AY11*d_GSF_s*d_Fam*d_Foffset*acf!C11*d_ET_w*(1/24)*d_EF_w*(1/365)))*1,".")</f>
        <v>139.28595278905811</v>
      </c>
    </row>
    <row r="12" spans="1:18">
      <c r="A12" s="60" t="s">
        <v>17</v>
      </c>
      <c r="B12" s="88" t="s">
        <v>6</v>
      </c>
      <c r="C12" s="61" t="str">
        <f>IFERROR((d_DL/(Rad_Spec!V12*d_IFD_w*d_EF_w))*1,".")</f>
        <v>.</v>
      </c>
      <c r="D12" s="61" t="str">
        <f>IFERROR((d_DL/(Rad_Spec!AN12*d_IRA_w*(1/d_PEFm_pp)*d_SLF*d_ET_w*d_EF_w))*1,".")</f>
        <v>.</v>
      </c>
      <c r="E12" s="61" t="str">
        <f>IFERROR((d_DL/(Rad_Spec!AN12*d_IRA_w*(1/d_PEF)*d_SLF*d_ET_w*d_EF_w))*1,".")</f>
        <v>.</v>
      </c>
      <c r="F12" s="61">
        <f>IFERROR((d_DL/(Rad_Spec!AY12*d_GSF_s*d_Fam*d_Foffset*acf!C12*d_ET_w*(1/24)*d_EF_w*(1/365)))*1,".")</f>
        <v>25.146255906212502</v>
      </c>
      <c r="G12" s="61">
        <f t="shared" si="4"/>
        <v>25.146255906212502</v>
      </c>
      <c r="H12" s="61">
        <f t="shared" si="5"/>
        <v>25.146255906212502</v>
      </c>
      <c r="I12" s="74" t="str">
        <f>IFERROR((d_DL/(Rad_Spec!AV12*d_GSF_s*d_Fam*d_Foffset*Fsurf!C12*d_EF_w*(1/365)*d_ET_w*(1/24)))*1,".")</f>
        <v>.</v>
      </c>
      <c r="J12" s="61" t="str">
        <f>IFERROR((d_DL/(Rad_Spec!AZ12*d_GSF_s*d_Fam*d_Foffset*Fsurf!C12*d_EF_w*(1/365)*d_ET_w*(1/24)))*1,".")</f>
        <v>.</v>
      </c>
      <c r="K12" s="61" t="str">
        <f>IFERROR((d_DL/(Rad_Spec!BA12*d_GSF_s*d_Fam*d_Foffset*Fsurf!C12*d_EF_w*(1/365)*d_ET_w*(1/24)))*1,".")</f>
        <v>.</v>
      </c>
      <c r="L12" s="61" t="str">
        <f>IFERROR((d_DL/(Rad_Spec!BB12*d_GSF_s*d_Fam*d_Foffset*Fsurf!C12*d_EF_w*(1/365)*d_ET_w*(1/24)))*1,".")</f>
        <v>.</v>
      </c>
      <c r="M12" s="61" t="str">
        <f>IFERROR((d_DL/(Rad_Spec!AY12*d_GSF_s*d_Fam*d_Foffset*Fsurf!C12*d_EF_w*(1/365)*d_ET_w*(1/24)))*1,".")</f>
        <v>.</v>
      </c>
      <c r="N12" s="61">
        <f>IFERROR((d_DL/(Rad_Spec!AV12*d_GSF_s*d_Fam*d_Foffset*acf!D12*d_ET_w*(1/24)*d_EF_w*(1/365)))*1,".")</f>
        <v>7.14863947354677</v>
      </c>
      <c r="O12" s="61">
        <f>IFERROR((d_DL/(Rad_Spec!AZ12*d_GSF_s*d_Fam*d_Foffset*acf!E12*d_ET_w*(1/24)*d_EF_w*(1/365)))*1,".")</f>
        <v>31.600454815678443</v>
      </c>
      <c r="P12" s="61">
        <f>IFERROR((d_DL/(Rad_Spec!BA12*d_GSF_s*d_Fam*d_Foffset*acf!F12*d_ET_w*(1/24)*d_EF_w*(1/365)))*1,".")</f>
        <v>11.327312789001645</v>
      </c>
      <c r="Q12" s="61">
        <f>IFERROR((d_DL/(Rad_Spec!BB12*d_GSF_s*d_Fam*d_Foffset*acf!G12*d_ET_w*(1/24)*d_EF_w*(1/365)))*1,".")</f>
        <v>7.6376343561020876</v>
      </c>
      <c r="R12" s="61">
        <f>IFERROR((d_DL/(Rad_Spec!AY12*d_GSF_s*d_Fam*d_Foffset*acf!C12*d_ET_w*(1/24)*d_EF_w*(1/365)))*1,".")</f>
        <v>25.146255906212502</v>
      </c>
    </row>
    <row r="13" spans="1:18">
      <c r="A13" s="60" t="s">
        <v>18</v>
      </c>
      <c r="B13" s="88" t="s">
        <v>6</v>
      </c>
      <c r="C13" s="61">
        <f>IFERROR((d_DL/(Rad_Spec!V13*d_IFD_w*d_EF_w))*1,".")</f>
        <v>5.1548783190972773E-2</v>
      </c>
      <c r="D13" s="61">
        <f>IFERROR((d_DL/(Rad_Spec!AN13*d_IRA_w*(1/d_PEFm_pp)*d_SLF*d_ET_w*d_EF_w))*1,".")</f>
        <v>1.1958837796179748E-5</v>
      </c>
      <c r="E13" s="61">
        <f>IFERROR((d_DL/(Rad_Spec!AN13*d_IRA_w*(1/d_PEF)*d_SLF*d_ET_w*d_EF_w))*1,".")</f>
        <v>8.7430189254242494E-3</v>
      </c>
      <c r="F13" s="61">
        <f>IFERROR((d_DL/(Rad_Spec!AY13*d_GSF_s*d_Fam*d_Foffset*acf!C13*d_ET_w*(1/24)*d_EF_w*(1/365)))*1,".")</f>
        <v>153.55705450924847</v>
      </c>
      <c r="G13" s="61">
        <f t="shared" si="4"/>
        <v>7.4748146932344219E-3</v>
      </c>
      <c r="H13" s="61">
        <f t="shared" si="5"/>
        <v>1.1956063169708089E-5</v>
      </c>
      <c r="I13" s="74">
        <f>IFERROR((d_DL/(Rad_Spec!AV13*d_GSF_s*d_Fam*d_Foffset*Fsurf!C13*d_EF_w*(1/365)*d_ET_w*(1/24)))*1,".")</f>
        <v>46.719223788128296</v>
      </c>
      <c r="J13" s="61">
        <f>IFERROR((d_DL/(Rad_Spec!AZ13*d_GSF_s*d_Fam*d_Foffset*Fsurf!C13*d_EF_w*(1/365)*d_ET_w*(1/24)))*1,".")</f>
        <v>139.76834449948385</v>
      </c>
      <c r="K13" s="61">
        <f>IFERROR((d_DL/(Rad_Spec!BA13*d_GSF_s*d_Fam*d_Foffset*Fsurf!C13*d_EF_w*(1/365)*d_ET_w*(1/24)))*1,".")</f>
        <v>58.644060629154048</v>
      </c>
      <c r="L13" s="61">
        <f>IFERROR((d_DL/(Rad_Spec!BB13*d_GSF_s*d_Fam*d_Foffset*Fsurf!C13*d_EF_w*(1/365)*d_ET_w*(1/24)))*1,".")</f>
        <v>46.849724413234803</v>
      </c>
      <c r="M13" s="61">
        <f>IFERROR((d_DL/(Rad_Spec!AY13*d_GSF_s*d_Fam*d_Foffset*Fsurf!C13*d_EF_w*(1/365)*d_ET_w*(1/24)))*1,".")</f>
        <v>109.84052540003469</v>
      </c>
      <c r="N13" s="61">
        <f>IFERROR((d_DL/(Rad_Spec!AV13*d_GSF_s*d_Fam*d_Foffset*acf!D13*d_ET_w*(1/24)*d_EF_w*(1/365)))*1,".")</f>
        <v>65.313474855803349</v>
      </c>
      <c r="O13" s="61">
        <f>IFERROR((d_DL/(Rad_Spec!AZ13*d_GSF_s*d_Fam*d_Foffset*acf!E13*d_ET_w*(1/24)*d_EF_w*(1/365)))*1,".")</f>
        <v>195.39614561027838</v>
      </c>
      <c r="P13" s="61">
        <f>IFERROR((d_DL/(Rad_Spec!BA13*d_GSF_s*d_Fam*d_Foffset*acf!F13*d_ET_w*(1/24)*d_EF_w*(1/365)))*1,".")</f>
        <v>81.98439675955737</v>
      </c>
      <c r="Q13" s="61">
        <f>IFERROR((d_DL/(Rad_Spec!BB13*d_GSF_s*d_Fam*d_Foffset*acf!G13*d_ET_w*(1/24)*d_EF_w*(1/365)))*1,".")</f>
        <v>65.49591472970225</v>
      </c>
      <c r="R13" s="61">
        <f>IFERROR((d_DL/(Rad_Spec!AY13*d_GSF_s*d_Fam*d_Foffset*acf!C13*d_ET_w*(1/24)*d_EF_w*(1/365)))*1,".")</f>
        <v>153.55705450924847</v>
      </c>
    </row>
    <row r="14" spans="1:18">
      <c r="A14" s="60" t="s">
        <v>19</v>
      </c>
      <c r="B14" s="88" t="s">
        <v>6</v>
      </c>
      <c r="C14" s="61">
        <f>IFERROR((d_DL/(Rad_Spec!V14*d_IFD_w*d_EF_w))*1,".")</f>
        <v>5.7098548669089926</v>
      </c>
      <c r="D14" s="61">
        <f>IFERROR((d_DL/(Rad_Spec!AN14*d_IRA_w*(1/d_PEFm_pp)*d_SLF*d_ET_w*d_EF_w))*1,".")</f>
        <v>3.3044157068391415E-2</v>
      </c>
      <c r="E14" s="61">
        <f>IFERROR((d_DL/(Rad_Spec!AN14*d_IRA_w*(1/d_PEF)*d_SLF*d_ET_w*d_EF_w))*1,".")</f>
        <v>24.158341767619639</v>
      </c>
      <c r="F14" s="61">
        <f>IFERROR((d_DL/(Rad_Spec!AY14*d_GSF_s*d_Fam*d_Foffset*acf!C14*d_ET_w*(1/24)*d_EF_w*(1/365)))*1,".")</f>
        <v>18.548475891216157</v>
      </c>
      <c r="G14" s="61">
        <f t="shared" ref="G14:G30" si="6">(IF(AND(C14&lt;&gt;".",E14&lt;&gt;".",F14&lt;&gt;"."),1/((1/C14)+(1/E14)+(1/F14)),IF(AND(C14&lt;&gt;".",E14&lt;&gt;".",F14="."), 1/((1/C14)+(1/E14)),IF(AND(C14&lt;&gt;".",E14=".",F14&lt;&gt;"."),1/((1/C14)+(1/F14)),IF(AND(C14=".",E14&lt;&gt;".",F14&lt;&gt;"."),1/((1/E14)+(1/F14)),IF(AND(C14&lt;&gt;".",E14=".",F14="."),1/(1/C14),IF(AND(C14=".",E14&lt;&gt;".",F14="."),1/(1/E14),IF(AND(C14=".",E14=".",F14&lt;&gt;"."),1/(1/F14),IF(AND(C14=".",E14=".",F14="."),".")))))))))</f>
        <v>3.6976483945518717</v>
      </c>
      <c r="H14" s="61">
        <f t="shared" ref="H14:H30" si="7">(IF(AND(C14&lt;&gt;".",D14&lt;&gt;".",F14&lt;&gt;"."),1/((1/C14)+(1/D14)+(1/F14)),IF(AND(C14&lt;&gt;".",D14&lt;&gt;".",F14="."), 1/((1/C14)+(1/D14)),IF(AND(C14&lt;&gt;".",D14=".",F14&lt;&gt;"."),1/((1/C14)+(1/F14)),IF(AND(C14=".",D14&lt;&gt;".",F14&lt;&gt;"."),1/((1/D14)+(1/F14)),IF(AND(C14&lt;&gt;".",D14=".",F14="."),1/(1/C14),IF(AND(C14=".",D14&lt;&gt;".",F14="."),1/(1/D14),IF(AND(C14=".",D14=".",F14&lt;&gt;"."),1/(1/F14),IF(AND(C14=".",D14=".",F14="."),".")))))))))</f>
        <v>3.2795933911699861E-2</v>
      </c>
      <c r="I14" s="74">
        <f>IFERROR((d_DL/(Rad_Spec!AV14*d_GSF_s*d_Fam*d_Foffset*Fsurf!C14*d_EF_w*(1/365)*d_ET_w*(1/24)))*1,".")</f>
        <v>3.3299539116132308</v>
      </c>
      <c r="J14" s="61">
        <f>IFERROR((d_DL/(Rad_Spec!AZ14*d_GSF_s*d_Fam*d_Foffset*Fsurf!C14*d_EF_w*(1/365)*d_ET_w*(1/24)))*1,".")</f>
        <v>14.289959699442607</v>
      </c>
      <c r="K14" s="61">
        <f>IFERROR((d_DL/(Rad_Spec!BA14*d_GSF_s*d_Fam*d_Foffset*Fsurf!C14*d_EF_w*(1/365)*d_ET_w*(1/24)))*1,".")</f>
        <v>5.1411469740204279</v>
      </c>
      <c r="L14" s="61">
        <f>IFERROR((d_DL/(Rad_Spec!BB14*d_GSF_s*d_Fam*d_Foffset*Fsurf!C14*d_EF_w*(1/365)*d_ET_w*(1/24)))*1,".")</f>
        <v>3.5171024841651377</v>
      </c>
      <c r="M14" s="61">
        <f>IFERROR((d_DL/(Rad_Spec!AY14*d_GSF_s*d_Fam*d_Foffset*Fsurf!C14*d_EF_w*(1/365)*d_ET_w*(1/24)))*1,".")</f>
        <v>14.356405488557396</v>
      </c>
      <c r="N14" s="61">
        <f>IFERROR((d_DL/(Rad_Spec!AV14*d_GSF_s*d_Fam*d_Foffset*acf!D14*d_ET_w*(1/24)*d_EF_w*(1/365)))*1,".")</f>
        <v>4.3023004538042944</v>
      </c>
      <c r="O14" s="61">
        <f>IFERROR((d_DL/(Rad_Spec!AZ14*d_GSF_s*d_Fam*d_Foffset*acf!E14*d_ET_w*(1/24)*d_EF_w*(1/365)))*1,".")</f>
        <v>18.462627931679847</v>
      </c>
      <c r="P14" s="61">
        <f>IFERROR((d_DL/(Rad_Spec!BA14*d_GSF_s*d_Fam*d_Foffset*acf!F14*d_ET_w*(1/24)*d_EF_w*(1/365)))*1,".")</f>
        <v>6.6423618904343922</v>
      </c>
      <c r="Q14" s="61">
        <f>IFERROR((d_DL/(Rad_Spec!BB14*d_GSF_s*d_Fam*d_Foffset*acf!G14*d_ET_w*(1/24)*d_EF_w*(1/365)))*1,".")</f>
        <v>4.5440964095413579</v>
      </c>
      <c r="R14" s="61">
        <f>IFERROR((d_DL/(Rad_Spec!AY14*d_GSF_s*d_Fam*d_Foffset*acf!C14*d_ET_w*(1/24)*d_EF_w*(1/365)))*1,".")</f>
        <v>18.548475891216157</v>
      </c>
    </row>
    <row r="15" spans="1:18">
      <c r="A15" s="60" t="s">
        <v>20</v>
      </c>
      <c r="B15" s="88" t="s">
        <v>6</v>
      </c>
      <c r="C15" s="61">
        <f>IFERROR((d_DL/(Rad_Spec!V15*d_IFD_w*d_EF_w))*1,".")</f>
        <v>97.279008843634699</v>
      </c>
      <c r="D15" s="61">
        <f>IFERROR((d_DL/(Rad_Spec!AN15*d_IRA_w*(1/d_PEFm_pp)*d_SLF*d_ET_w*d_EF_w))*1,".")</f>
        <v>2.1587586852702705</v>
      </c>
      <c r="E15" s="61">
        <f>IFERROR((d_DL/(Rad_Spec!AN15*d_IRA_w*(1/d_PEF)*d_SLF*d_ET_w*d_EF_w))*1,".")</f>
        <v>1578.2527000049506</v>
      </c>
      <c r="F15" s="61">
        <f>IFERROR((d_DL/(Rad_Spec!AY15*d_GSF_s*d_Fam*d_Foffset*acf!C15*d_ET_w*(1/24)*d_EF_w*(1/365)))*1,".")</f>
        <v>1305.0477638542891</v>
      </c>
      <c r="G15" s="61">
        <f t="shared" si="6"/>
        <v>85.619534919701309</v>
      </c>
      <c r="H15" s="61">
        <f t="shared" si="7"/>
        <v>2.1084807516562667</v>
      </c>
      <c r="I15" s="74">
        <f>IFERROR((d_DL/(Rad_Spec!AV15*d_GSF_s*d_Fam*d_Foffset*Fsurf!C15*d_EF_w*(1/365)*d_ET_w*(1/24)))*1,".")</f>
        <v>4639.7508069924943</v>
      </c>
      <c r="J15" s="61">
        <f>IFERROR((d_DL/(Rad_Spec!AZ15*d_GSF_s*d_Fam*d_Foffset*Fsurf!C15*d_EF_w*(1/365)*d_ET_w*(1/24)))*1,".")</f>
        <v>11834.301108974525</v>
      </c>
      <c r="K15" s="61">
        <f>IFERROR((d_DL/(Rad_Spec!BA15*d_GSF_s*d_Fam*d_Foffset*Fsurf!C15*d_EF_w*(1/365)*d_ET_w*(1/24)))*1,".")</f>
        <v>5861.5033705892629</v>
      </c>
      <c r="L15" s="61">
        <f>IFERROR((d_DL/(Rad_Spec!BB15*d_GSF_s*d_Fam*d_Foffset*Fsurf!C15*d_EF_w*(1/365)*d_ET_w*(1/24)))*1,".")</f>
        <v>4709.8729854357052</v>
      </c>
      <c r="M15" s="61">
        <f>IFERROR((d_DL/(Rad_Spec!AY15*d_GSF_s*d_Fam*d_Foffset*Fsurf!C15*d_EF_w*(1/365)*d_ET_w*(1/24)))*1,".")</f>
        <v>936.63715109159477</v>
      </c>
      <c r="N15" s="61">
        <f>IFERROR((d_DL/(Rad_Spec!AV15*d_GSF_s*d_Fam*d_Foffset*acf!D15*d_ET_w*(1/24)*d_EF_w*(1/365)))*1,".")</f>
        <v>6464.7194577428736</v>
      </c>
      <c r="O15" s="61">
        <f>IFERROR((d_DL/(Rad_Spec!AZ15*d_GSF_s*d_Fam*d_Foffset*acf!E15*d_ET_w*(1/24)*d_EF_w*(1/365)))*1,".")</f>
        <v>16489.126211837836</v>
      </c>
      <c r="P15" s="61">
        <f>IFERROR((d_DL/(Rad_Spec!BA15*d_GSF_s*d_Fam*d_Foffset*acf!F15*d_ET_w*(1/24)*d_EF_w*(1/365)))*1,".")</f>
        <v>8167.0280296877054</v>
      </c>
      <c r="Q15" s="61">
        <f>IFERROR((d_DL/(Rad_Spec!BB15*d_GSF_s*d_Fam*d_Foffset*acf!G15*d_ET_w*(1/24)*d_EF_w*(1/365)))*1,".")</f>
        <v>6562.4230263737491</v>
      </c>
      <c r="R15" s="61">
        <f>IFERROR((d_DL/(Rad_Spec!AY15*d_GSF_s*d_Fam*d_Foffset*acf!C15*d_ET_w*(1/24)*d_EF_w*(1/365)))*1,".")</f>
        <v>1305.0477638542891</v>
      </c>
    </row>
    <row r="16" spans="1:18">
      <c r="A16" s="62" t="s">
        <v>21</v>
      </c>
      <c r="B16" s="88" t="s">
        <v>6</v>
      </c>
      <c r="C16" s="61">
        <f>IFERROR((d_DL/(Rad_Spec!V16*d_IFD_w*d_EF_w))*1,".")</f>
        <v>7.9248847721754122E-3</v>
      </c>
      <c r="D16" s="61">
        <f>IFERROR((d_DL/(Rad_Spec!AN16*d_IRA_w*(1/d_PEFm_pp)*d_SLF*d_ET_w*d_EF_w))*1,".")</f>
        <v>2.4988616290524844E-5</v>
      </c>
      <c r="E16" s="61">
        <f>IFERROR((d_DL/(Rad_Spec!AN16*d_IRA_w*(1/d_PEF)*d_SLF*d_ET_w*d_EF_w))*1,".")</f>
        <v>1.8268994769543207E-2</v>
      </c>
      <c r="F16" s="61">
        <f>IFERROR((d_DL/(Rad_Spec!AY16*d_GSF_s*d_Fam*d_Foffset*acf!C16*d_ET_w*(1/24)*d_EF_w*(1/365)))*1,".")</f>
        <v>1726.6323179841763</v>
      </c>
      <c r="G16" s="61">
        <f t="shared" si="6"/>
        <v>5.5272154229584411E-3</v>
      </c>
      <c r="H16" s="61">
        <f t="shared" si="7"/>
        <v>2.4910069907381045E-5</v>
      </c>
      <c r="I16" s="74">
        <f>IFERROR((d_DL/(Rad_Spec!AV16*d_GSF_s*d_Fam*d_Foffset*Fsurf!C16*d_EF_w*(1/365)*d_ET_w*(1/24)))*1,".")</f>
        <v>1396.6178329144075</v>
      </c>
      <c r="J16" s="61">
        <f>IFERROR((d_DL/(Rad_Spec!AZ16*d_GSF_s*d_Fam*d_Foffset*Fsurf!C16*d_EF_w*(1/365)*d_ET_w*(1/24)))*1,".")</f>
        <v>2196.9269281799666</v>
      </c>
      <c r="K16" s="61">
        <f>IFERROR((d_DL/(Rad_Spec!BA16*d_GSF_s*d_Fam*d_Foffset*Fsurf!C16*d_EF_w*(1/365)*d_ET_w*(1/24)))*1,".")</f>
        <v>1422.0108844219424</v>
      </c>
      <c r="L16" s="61">
        <f>IFERROR((d_DL/(Rad_Spec!BB16*d_GSF_s*d_Fam*d_Foffset*Fsurf!C16*d_EF_w*(1/365)*d_ET_w*(1/24)))*1,".")</f>
        <v>1396.6178329144075</v>
      </c>
      <c r="M16" s="61">
        <f>IFERROR((d_DL/(Rad_Spec!AY16*d_GSF_s*d_Fam*d_Foffset*Fsurf!C16*d_EF_w*(1/365)*d_ET_w*(1/24)))*1,".")</f>
        <v>1151.8561160668287</v>
      </c>
      <c r="N16" s="61">
        <f>IFERROR((d_DL/(Rad_Spec!AV16*d_GSF_s*d_Fam*d_Foffset*acf!D16*d_ET_w*(1/24)*d_EF_w*(1/365)))*1,".")</f>
        <v>2093.5301315386964</v>
      </c>
      <c r="O16" s="61">
        <f>IFERROR((d_DL/(Rad_Spec!AZ16*d_GSF_s*d_Fam*d_Foffset*acf!E16*d_ET_w*(1/24)*d_EF_w*(1/365)))*1,".")</f>
        <v>3293.1934653417702</v>
      </c>
      <c r="P16" s="61">
        <f>IFERROR((d_DL/(Rad_Spec!BA16*d_GSF_s*d_Fam*d_Foffset*acf!F16*d_ET_w*(1/24)*d_EF_w*(1/365)))*1,".")</f>
        <v>2131.5943157484917</v>
      </c>
      <c r="Q16" s="61">
        <f>IFERROR((d_DL/(Rad_Spec!BB16*d_GSF_s*d_Fam*d_Foffset*acf!G16*d_ET_w*(1/24)*d_EF_w*(1/365)))*1,".")</f>
        <v>2093.5301315386964</v>
      </c>
      <c r="R16" s="61">
        <f>IFERROR((d_DL/(Rad_Spec!AY16*d_GSF_s*d_Fam*d_Foffset*acf!C16*d_ET_w*(1/24)*d_EF_w*(1/365)))*1,".")</f>
        <v>1726.6323179841763</v>
      </c>
    </row>
    <row r="17" spans="1:18">
      <c r="A17" s="60" t="s">
        <v>22</v>
      </c>
      <c r="B17" s="88" t="s">
        <v>6</v>
      </c>
      <c r="C17" s="61">
        <f>IFERROR((d_DL/(Rad_Spec!V17*d_IFD_w*d_EF_w))*1,".")</f>
        <v>39.681437420389116</v>
      </c>
      <c r="D17" s="61">
        <f>IFERROR((d_DL/(Rad_Spec!AN17*d_IRA_w*(1/d_PEFm_pp)*d_SLF*d_ET_w*d_EF_w))*1,".")</f>
        <v>1.1963970344590125E-2</v>
      </c>
      <c r="E17" s="61">
        <f>IFERROR((d_DL/(Rad_Spec!AN17*d_IRA_w*(1/d_PEF)*d_SLF*d_ET_w*d_EF_w))*1,".")</f>
        <v>8.7467712940617695</v>
      </c>
      <c r="F17" s="61">
        <f>IFERROR((d_DL/(Rad_Spec!AY17*d_GSF_s*d_Fam*d_Foffset*acf!C17*d_ET_w*(1/24)*d_EF_w*(1/365)))*1,".")</f>
        <v>15.418897654426598</v>
      </c>
      <c r="G17" s="61">
        <f t="shared" si="6"/>
        <v>4.8927489813776184</v>
      </c>
      <c r="H17" s="61">
        <f t="shared" si="7"/>
        <v>1.1951093883956604E-2</v>
      </c>
      <c r="I17" s="74">
        <f>IFERROR((d_DL/(Rad_Spec!AV17*d_GSF_s*d_Fam*d_Foffset*Fsurf!C17*d_EF_w*(1/365)*d_ET_w*(1/24)))*1,".")</f>
        <v>2.7916925592964681</v>
      </c>
      <c r="J17" s="61">
        <f>IFERROR((d_DL/(Rad_Spec!AZ17*d_GSF_s*d_Fam*d_Foffset*Fsurf!C17*d_EF_w*(1/365)*d_ET_w*(1/24)))*1,".")</f>
        <v>12.52539394937682</v>
      </c>
      <c r="K17" s="61">
        <f>IFERROR((d_DL/(Rad_Spec!BA17*d_GSF_s*d_Fam*d_Foffset*Fsurf!C17*d_EF_w*(1/365)*d_ET_w*(1/24)))*1,".")</f>
        <v>4.4416290600627013</v>
      </c>
      <c r="L17" s="61">
        <f>IFERROR((d_DL/(Rad_Spec!BB17*d_GSF_s*d_Fam*d_Foffset*Fsurf!C17*d_EF_w*(1/365)*d_ET_w*(1/24)))*1,".")</f>
        <v>2.9869778893585424</v>
      </c>
      <c r="M17" s="61">
        <f>IFERROR((d_DL/(Rad_Spec!AY17*d_GSF_s*d_Fam*d_Foffset*Fsurf!C17*d_EF_w*(1/365)*d_ET_w*(1/24)))*1,".")</f>
        <v>12.354885941046952</v>
      </c>
      <c r="N17" s="61">
        <f>IFERROR((d_DL/(Rad_Spec!AV17*d_GSF_s*d_Fam*d_Foffset*acf!D17*d_ET_w*(1/24)*d_EF_w*(1/365)))*1,".")</f>
        <v>3.484032314001992</v>
      </c>
      <c r="O17" s="61">
        <f>IFERROR((d_DL/(Rad_Spec!AZ17*d_GSF_s*d_Fam*d_Foffset*acf!E17*d_ET_w*(1/24)*d_EF_w*(1/365)))*1,".")</f>
        <v>15.631691648822272</v>
      </c>
      <c r="P17" s="61">
        <f>IFERROR((d_DL/(Rad_Spec!BA17*d_GSF_s*d_Fam*d_Foffset*acf!F17*d_ET_w*(1/24)*d_EF_w*(1/365)))*1,".")</f>
        <v>5.5431530669582525</v>
      </c>
      <c r="Q17" s="61">
        <f>IFERROR((d_DL/(Rad_Spec!BB17*d_GSF_s*d_Fam*d_Foffset*acf!G17*d_ET_w*(1/24)*d_EF_w*(1/365)))*1,".")</f>
        <v>3.7277484059194603</v>
      </c>
      <c r="R17" s="61">
        <f>IFERROR((d_DL/(Rad_Spec!AY17*d_GSF_s*d_Fam*d_Foffset*acf!C17*d_ET_w*(1/24)*d_EF_w*(1/365)))*1,".")</f>
        <v>15.418897654426598</v>
      </c>
    </row>
    <row r="18" spans="1:18">
      <c r="A18" s="60" t="s">
        <v>23</v>
      </c>
      <c r="B18" s="88" t="s">
        <v>6</v>
      </c>
      <c r="C18" s="61">
        <f>IFERROR((d_DL/(Rad_Spec!V18*d_IFD_w*d_EF_w))*1,".")</f>
        <v>4.5584461168876747E-3</v>
      </c>
      <c r="D18" s="61">
        <f>IFERROR((d_DL/(Rad_Spec!AN18*d_IRA_w*(1/d_PEFm_pp)*d_SLF*d_ET_w*d_EF_w))*1,".")</f>
        <v>3.2196870989714707E-5</v>
      </c>
      <c r="E18" s="61">
        <f>IFERROR((d_DL/(Rad_Spec!AN18*d_IRA_w*(1/d_PEF)*d_SLF*d_ET_w*d_EF_w))*1,".")</f>
        <v>2.3538897106911438E-2</v>
      </c>
      <c r="F18" s="61">
        <f>IFERROR((d_DL/(Rad_Spec!AY18*d_GSF_s*d_Fam*d_Foffset*acf!C18*d_ET_w*(1/24)*d_EF_w*(1/365)))*1,".")</f>
        <v>406376.58677067928</v>
      </c>
      <c r="G18" s="61">
        <f t="shared" si="6"/>
        <v>3.8188946282145708E-3</v>
      </c>
      <c r="H18" s="61">
        <f t="shared" si="7"/>
        <v>3.1971055452367859E-5</v>
      </c>
      <c r="I18" s="74">
        <f>IFERROR((d_DL/(Rad_Spec!AV18*d_GSF_s*d_Fam*d_Foffset*Fsurf!C18*d_EF_w*(1/365)*d_ET_w*(1/24)))*1,".")</f>
        <v>65853.140424406723</v>
      </c>
      <c r="J18" s="61">
        <f>IFERROR((d_DL/(Rad_Spec!AZ18*d_GSF_s*d_Fam*d_Foffset*Fsurf!C18*d_EF_w*(1/365)*d_ET_w*(1/24)))*1,".")</f>
        <v>339379.66566844413</v>
      </c>
      <c r="K18" s="61">
        <f>IFERROR((d_DL/(Rad_Spec!BA18*d_GSF_s*d_Fam*d_Foffset*Fsurf!C18*d_EF_w*(1/365)*d_ET_w*(1/24)))*1,".")</f>
        <v>118378.85957244541</v>
      </c>
      <c r="L18" s="61">
        <f>IFERROR((d_DL/(Rad_Spec!BB18*d_GSF_s*d_Fam*d_Foffset*Fsurf!C18*d_EF_w*(1/365)*d_ET_w*(1/24)))*1,".")</f>
        <v>75332.001546101616</v>
      </c>
      <c r="M18" s="61">
        <f>IFERROR((d_DL/(Rad_Spec!AY18*d_GSF_s*d_Fam*d_Foffset*Fsurf!C18*d_EF_w*(1/365)*d_ET_w*(1/24)))*1,".")</f>
        <v>344679.03882161091</v>
      </c>
      <c r="N18" s="61">
        <f>IFERROR((d_DL/(Rad_Spec!AV18*d_GSF_s*d_Fam*d_Foffset*acf!D18*d_ET_w*(1/24)*d_EF_w*(1/365)))*1,".")</f>
        <v>77640.852560375526</v>
      </c>
      <c r="O18" s="61">
        <f>IFERROR((d_DL/(Rad_Spec!AZ18*d_GSF_s*d_Fam*d_Foffset*acf!E18*d_ET_w*(1/24)*d_EF_w*(1/365)))*1,".")</f>
        <v>400128.62582309567</v>
      </c>
      <c r="P18" s="61">
        <f>IFERROR((d_DL/(Rad_Spec!BA18*d_GSF_s*d_Fam*d_Foffset*acf!F18*d_ET_w*(1/24)*d_EF_w*(1/365)))*1,".")</f>
        <v>139568.67543591314</v>
      </c>
      <c r="Q18" s="61">
        <f>IFERROR((d_DL/(Rad_Spec!BB18*d_GSF_s*d_Fam*d_Foffset*acf!G18*d_ET_w*(1/24)*d_EF_w*(1/365)))*1,".")</f>
        <v>88816.42982285381</v>
      </c>
      <c r="R18" s="61">
        <f>IFERROR((d_DL/(Rad_Spec!AY18*d_GSF_s*d_Fam*d_Foffset*acf!C18*d_ET_w*(1/24)*d_EF_w*(1/365)))*1,".")</f>
        <v>406376.58677067928</v>
      </c>
    </row>
    <row r="19" spans="1:18">
      <c r="A19" s="60" t="s">
        <v>24</v>
      </c>
      <c r="B19" s="88" t="s">
        <v>6</v>
      </c>
      <c r="C19" s="61" t="str">
        <f>IFERROR((d_DL/(Rad_Spec!V19*d_IFD_w*d_EF_w))*1,".")</f>
        <v>.</v>
      </c>
      <c r="D19" s="61" t="str">
        <f>IFERROR((d_DL/(Rad_Spec!AN19*d_IRA_w*(1/d_PEFm_pp)*d_SLF*d_ET_w*d_EF_w))*1,".")</f>
        <v>.</v>
      </c>
      <c r="E19" s="61" t="str">
        <f>IFERROR((d_DL/(Rad_Spec!AN19*d_IRA_w*(1/d_PEF)*d_SLF*d_ET_w*d_EF_w))*1,".")</f>
        <v>.</v>
      </c>
      <c r="F19" s="61">
        <f>IFERROR((d_DL/(Rad_Spec!AY19*d_GSF_s*d_Fam*d_Foffset*acf!C19*d_ET_w*(1/24)*d_EF_w*(1/365)))*1,".")</f>
        <v>104952.16050492054</v>
      </c>
      <c r="G19" s="61">
        <f t="shared" si="6"/>
        <v>104952.16050492054</v>
      </c>
      <c r="H19" s="61">
        <f t="shared" si="7"/>
        <v>104952.16050492054</v>
      </c>
      <c r="I19" s="74" t="str">
        <f>IFERROR((d_DL/(Rad_Spec!AV19*d_GSF_s*d_Fam*d_Foffset*Fsurf!C19*d_EF_w*(1/365)*d_ET_w*(1/24)))*1,".")</f>
        <v>.</v>
      </c>
      <c r="J19" s="61" t="str">
        <f>IFERROR((d_DL/(Rad_Spec!AZ19*d_GSF_s*d_Fam*d_Foffset*Fsurf!C19*d_EF_w*(1/365)*d_ET_w*(1/24)))*1,".")</f>
        <v>.</v>
      </c>
      <c r="K19" s="61" t="str">
        <f>IFERROR((d_DL/(Rad_Spec!BA19*d_GSF_s*d_Fam*d_Foffset*Fsurf!C19*d_EF_w*(1/365)*d_ET_w*(1/24)))*1,".")</f>
        <v>.</v>
      </c>
      <c r="L19" s="61" t="str">
        <f>IFERROR((d_DL/(Rad_Spec!BB19*d_GSF_s*d_Fam*d_Foffset*Fsurf!C19*d_EF_w*(1/365)*d_ET_w*(1/24)))*1,".")</f>
        <v>.</v>
      </c>
      <c r="M19" s="61" t="str">
        <f>IFERROR((d_DL/(Rad_Spec!AY19*d_GSF_s*d_Fam*d_Foffset*Fsurf!C19*d_EF_w*(1/365)*d_ET_w*(1/24)))*1,".")</f>
        <v>.</v>
      </c>
      <c r="N19" s="61">
        <f>IFERROR((d_DL/(Rad_Spec!AV19*d_GSF_s*d_Fam*d_Foffset*acf!D19*d_ET_w*(1/24)*d_EF_w*(1/365)))*1,".")</f>
        <v>20213.394373477069</v>
      </c>
      <c r="O19" s="61">
        <f>IFERROR((d_DL/(Rad_Spec!AZ19*d_GSF_s*d_Fam*d_Foffset*acf!E19*d_ET_w*(1/24)*d_EF_w*(1/365)))*1,".")</f>
        <v>103750.16581076728</v>
      </c>
      <c r="P19" s="61">
        <f>IFERROR((d_DL/(Rad_Spec!BA19*d_GSF_s*d_Fam*d_Foffset*acf!F19*d_ET_w*(1/24)*d_EF_w*(1/365)))*1,".")</f>
        <v>36240.397949356113</v>
      </c>
      <c r="Q19" s="61">
        <f>IFERROR((d_DL/(Rad_Spec!BB19*d_GSF_s*d_Fam*d_Foffset*acf!G19*d_ET_w*(1/24)*d_EF_w*(1/365)))*1,".")</f>
        <v>22987.781836503338</v>
      </c>
      <c r="R19" s="61">
        <f>IFERROR((d_DL/(Rad_Spec!AY19*d_GSF_s*d_Fam*d_Foffset*acf!C19*d_ET_w*(1/24)*d_EF_w*(1/365)))*1,".")</f>
        <v>104952.16050492054</v>
      </c>
    </row>
    <row r="20" spans="1:18">
      <c r="A20" s="60" t="s">
        <v>25</v>
      </c>
      <c r="B20" s="88" t="s">
        <v>6</v>
      </c>
      <c r="C20" s="61" t="str">
        <f>IFERROR((d_DL/(Rad_Spec!V20*d_IFD_w*d_EF_w))*1,".")</f>
        <v>.</v>
      </c>
      <c r="D20" s="61" t="str">
        <f>IFERROR((d_DL/(Rad_Spec!AN20*d_IRA_w*(1/d_PEFm_pp)*d_SLF*d_ET_w*d_EF_w))*1,".")</f>
        <v>.</v>
      </c>
      <c r="E20" s="61" t="str">
        <f>IFERROR((d_DL/(Rad_Spec!AN20*d_IRA_w*(1/d_PEF)*d_SLF*d_ET_w*d_EF_w))*1,".")</f>
        <v>.</v>
      </c>
      <c r="F20" s="61">
        <f>IFERROR((d_DL/(Rad_Spec!AY20*d_GSF_s*d_Fam*d_Foffset*acf!C20*d_ET_w*(1/24)*d_EF_w*(1/365)))*1,".")</f>
        <v>47608.540406933462</v>
      </c>
      <c r="G20" s="61">
        <f t="shared" si="6"/>
        <v>47608.540406933462</v>
      </c>
      <c r="H20" s="61">
        <f t="shared" si="7"/>
        <v>47608.540406933462</v>
      </c>
      <c r="I20" s="74">
        <f>IFERROR((d_DL/(Rad_Spec!AV20*d_GSF_s*d_Fam*d_Foffset*Fsurf!C20*d_EF_w*(1/365)*d_ET_w*(1/24)))*1,".")</f>
        <v>7738.3845946189995</v>
      </c>
      <c r="J20" s="61">
        <f>IFERROR((d_DL/(Rad_Spec!AZ20*d_GSF_s*d_Fam*d_Foffset*Fsurf!C20*d_EF_w*(1/365)*d_ET_w*(1/24)))*1,".")</f>
        <v>39775.296816341652</v>
      </c>
      <c r="K20" s="61">
        <f>IFERROR((d_DL/(Rad_Spec!BA20*d_GSF_s*d_Fam*d_Foffset*Fsurf!C20*d_EF_w*(1/365)*d_ET_w*(1/24)))*1,".")</f>
        <v>13907.4464392803</v>
      </c>
      <c r="L20" s="61">
        <f>IFERROR((d_DL/(Rad_Spec!BB20*d_GSF_s*d_Fam*d_Foffset*Fsurf!C20*d_EF_w*(1/365)*d_ET_w*(1/24)))*1,".")</f>
        <v>8799.8444283941699</v>
      </c>
      <c r="M20" s="61">
        <f>IFERROR((d_DL/(Rad_Spec!AY20*d_GSF_s*d_Fam*d_Foffset*Fsurf!C20*d_EF_w*(1/365)*d_ET_w*(1/24)))*1,".")</f>
        <v>40380.441396890128</v>
      </c>
      <c r="N20" s="61">
        <f>IFERROR((d_DL/(Rad_Spec!AV20*d_GSF_s*d_Fam*d_Foffset*acf!D20*d_ET_w*(1/24)*d_EF_w*(1/365)))*1,".")</f>
        <v>9123.5554370558002</v>
      </c>
      <c r="O20" s="61">
        <f>IFERROR((d_DL/(Rad_Spec!AZ20*d_GSF_s*d_Fam*d_Foffset*acf!E20*d_ET_w*(1/24)*d_EF_w*(1/365)))*1,".")</f>
        <v>46895.074946466812</v>
      </c>
      <c r="P20" s="61">
        <f>IFERROR((d_DL/(Rad_Spec!BA20*d_GSF_s*d_Fam*d_Foffset*acf!F20*d_ET_w*(1/24)*d_EF_w*(1/365)))*1,".")</f>
        <v>16396.879351911473</v>
      </c>
      <c r="Q20" s="61">
        <f>IFERROR((d_DL/(Rad_Spec!BB20*d_GSF_s*d_Fam*d_Foffset*acf!G20*d_ET_w*(1/24)*d_EF_w*(1/365)))*1,".")</f>
        <v>10375.016581076728</v>
      </c>
      <c r="R20" s="61">
        <f>IFERROR((d_DL/(Rad_Spec!AY20*d_GSF_s*d_Fam*d_Foffset*acf!C20*d_ET_w*(1/24)*d_EF_w*(1/365)))*1,".")</f>
        <v>47608.540406933462</v>
      </c>
    </row>
    <row r="21" spans="1:18">
      <c r="A21" s="60" t="s">
        <v>26</v>
      </c>
      <c r="B21" s="88" t="s">
        <v>6</v>
      </c>
      <c r="C21" s="61" t="str">
        <f>IFERROR((d_DL/(Rad_Spec!V21*d_IFD_w*d_EF_w))*1,".")</f>
        <v>.</v>
      </c>
      <c r="D21" s="61">
        <f>IFERROR((d_DL/(Rad_Spec!AN21*d_IRA_w*(1/d_PEFm_pp)*d_SLF*d_ET_w*d_EF_w))*1,".")</f>
        <v>7.3165487934107598E-2</v>
      </c>
      <c r="E21" s="61">
        <f>IFERROR((d_DL/(Rad_Spec!AN21*d_IRA_w*(1/d_PEF)*d_SLF*d_ET_w*d_EF_w))*1,".")</f>
        <v>53.490753583107427</v>
      </c>
      <c r="F21" s="61">
        <f>IFERROR((d_DL/(Rad_Spec!AY21*d_GSF_s*d_Fam*d_Foffset*acf!C21*d_ET_w*(1/24)*d_EF_w*(1/365)))*1,".")</f>
        <v>626030431.08198202</v>
      </c>
      <c r="G21" s="61">
        <f t="shared" si="6"/>
        <v>53.490749012625976</v>
      </c>
      <c r="H21" s="61">
        <f t="shared" si="7"/>
        <v>7.3165487925556605E-2</v>
      </c>
      <c r="I21" s="74">
        <f>IFERROR((d_DL/(Rad_Spec!AV21*d_GSF_s*d_Fam*d_Foffset*Fsurf!C21*d_EF_w*(1/365)*d_ET_w*(1/24)))*1,".")</f>
        <v>403268060.79467475</v>
      </c>
      <c r="J21" s="61">
        <f>IFERROR((d_DL/(Rad_Spec!AZ21*d_GSF_s*d_Fam*d_Foffset*Fsurf!C21*d_EF_w*(1/365)*d_ET_w*(1/24)))*1,".")</f>
        <v>858682853.58866084</v>
      </c>
      <c r="K21" s="61">
        <f>IFERROR((d_DL/(Rad_Spec!BA21*d_GSF_s*d_Fam*d_Foffset*Fsurf!C21*d_EF_w*(1/365)*d_ET_w*(1/24)))*1,".")</f>
        <v>459019405.60499835</v>
      </c>
      <c r="L21" s="61">
        <f>IFERROR((d_DL/(Rad_Spec!BB21*d_GSF_s*d_Fam*d_Foffset*Fsurf!C21*d_EF_w*(1/365)*d_ET_w*(1/24)))*1,".")</f>
        <v>403268060.79467475</v>
      </c>
      <c r="M21" s="61">
        <f>IFERROR((d_DL/(Rad_Spec!AY21*d_GSF_s*d_Fam*d_Foffset*Fsurf!C21*d_EF_w*(1/365)*d_ET_w*(1/24)))*1,".")</f>
        <v>478697865.73813415</v>
      </c>
      <c r="N21" s="61">
        <f>IFERROR((d_DL/(Rad_Spec!AV21*d_GSF_s*d_Fam*d_Foffset*acf!D21*d_ET_w*(1/24)*d_EF_w*(1/365)))*1,".")</f>
        <v>527385008.39481348</v>
      </c>
      <c r="O21" s="61">
        <f>IFERROR((d_DL/(Rad_Spec!AZ21*d_GSF_s*d_Fam*d_Foffset*acf!E21*d_ET_w*(1/24)*d_EF_w*(1/365)))*1,".")</f>
        <v>1122966354.0820596</v>
      </c>
      <c r="P21" s="61">
        <f>IFERROR((d_DL/(Rad_Spec!BA21*d_GSF_s*d_Fam*d_Foffset*acf!F21*d_ET_w*(1/24)*d_EF_w*(1/365)))*1,".")</f>
        <v>600295378.21898127</v>
      </c>
      <c r="Q21" s="61">
        <f>IFERROR((d_DL/(Rad_Spec!BB21*d_GSF_s*d_Fam*d_Foffset*acf!G21*d_ET_w*(1/24)*d_EF_w*(1/365)))*1,".")</f>
        <v>527385008.39481348</v>
      </c>
      <c r="R21" s="61">
        <f>IFERROR((d_DL/(Rad_Spec!AY21*d_GSF_s*d_Fam*d_Foffset*acf!C21*d_ET_w*(1/24)*d_EF_w*(1/365)))*1,".")</f>
        <v>626030431.08198202</v>
      </c>
    </row>
    <row r="22" spans="1:18">
      <c r="A22" s="60" t="s">
        <v>27</v>
      </c>
      <c r="B22" s="88" t="s">
        <v>6</v>
      </c>
      <c r="C22" s="61">
        <f>IFERROR((d_DL/(Rad_Spec!V22*d_IFD_w*d_EF_w))*1,".")</f>
        <v>5.5378712865804085E-2</v>
      </c>
      <c r="D22" s="61">
        <f>IFERROR((d_DL/(Rad_Spec!AN22*d_IRA_w*(1/d_PEFm_pp)*d_SLF*d_ET_w*d_EF_w))*1,".")</f>
        <v>1.7916927019246711E-5</v>
      </c>
      <c r="E22" s="61">
        <f>IFERROR((d_DL/(Rad_Spec!AN22*d_IRA_w*(1/d_PEF)*d_SLF*d_ET_w*d_EF_w))*1,".")</f>
        <v>1.3098934418590433E-2</v>
      </c>
      <c r="F22" s="61">
        <f>IFERROR((d_DL/(Rad_Spec!AY22*d_GSF_s*d_Fam*d_Foffset*acf!C22*d_ET_w*(1/24)*d_EF_w*(1/365)))*1,".")</f>
        <v>340.61746636596939</v>
      </c>
      <c r="G22" s="61">
        <f t="shared" si="6"/>
        <v>1.0592939409237558E-2</v>
      </c>
      <c r="H22" s="61">
        <f t="shared" si="7"/>
        <v>1.7911131207299002E-5</v>
      </c>
      <c r="I22" s="74">
        <f>IFERROR((d_DL/(Rad_Spec!AV22*d_GSF_s*d_Fam*d_Foffset*Fsurf!C22*d_EF_w*(1/365)*d_ET_w*(1/24)))*1,".")</f>
        <v>356.4631112879689</v>
      </c>
      <c r="J22" s="61">
        <f>IFERROR((d_DL/(Rad_Spec!AZ22*d_GSF_s*d_Fam*d_Foffset*Fsurf!C22*d_EF_w*(1/365)*d_ET_w*(1/24)))*1,".")</f>
        <v>491.42457827850052</v>
      </c>
      <c r="K22" s="61">
        <f>IFERROR((d_DL/(Rad_Spec!BA22*d_GSF_s*d_Fam*d_Foffset*Fsurf!C22*d_EF_w*(1/365)*d_ET_w*(1/24)))*1,".")</f>
        <v>357.96400859865508</v>
      </c>
      <c r="L22" s="61">
        <f>IFERROR((d_DL/(Rad_Spec!BB22*d_GSF_s*d_Fam*d_Foffset*Fsurf!C22*d_EF_w*(1/365)*d_ET_w*(1/24)))*1,".")</f>
        <v>356.4631112879689</v>
      </c>
      <c r="M22" s="61">
        <f>IFERROR((d_DL/(Rad_Spec!AY22*d_GSF_s*d_Fam*d_Foffset*Fsurf!C22*d_EF_w*(1/365)*d_ET_w*(1/24)))*1,".")</f>
        <v>247.00323884406771</v>
      </c>
      <c r="N22" s="61">
        <f>IFERROR((d_DL/(Rad_Spec!AV22*d_GSF_s*d_Fam*d_Foffset*acf!D22*d_ET_w*(1/24)*d_EF_w*(1/365)))*1,".")</f>
        <v>491.56263046610906</v>
      </c>
      <c r="O22" s="61">
        <f>IFERROR((d_DL/(Rad_Spec!AZ22*d_GSF_s*d_Fam*d_Foffset*acf!E22*d_ET_w*(1/24)*d_EF_w*(1/365)))*1,".")</f>
        <v>677.67449344605222</v>
      </c>
      <c r="P22" s="61">
        <f>IFERROR((d_DL/(Rad_Spec!BA22*d_GSF_s*d_Fam*d_Foffset*acf!F22*d_ET_w*(1/24)*d_EF_w*(1/365)))*1,".")</f>
        <v>493.63236785754543</v>
      </c>
      <c r="Q22" s="61">
        <f>IFERROR((d_DL/(Rad_Spec!BB22*d_GSF_s*d_Fam*d_Foffset*acf!G22*d_ET_w*(1/24)*d_EF_w*(1/365)))*1,".")</f>
        <v>491.56263046610906</v>
      </c>
      <c r="R22" s="61">
        <f>IFERROR((d_DL/(Rad_Spec!AY22*d_GSF_s*d_Fam*d_Foffset*acf!C22*d_ET_w*(1/24)*d_EF_w*(1/365)))*1,".")</f>
        <v>340.61746636596939</v>
      </c>
    </row>
    <row r="23" spans="1:18">
      <c r="A23" s="62" t="s">
        <v>28</v>
      </c>
      <c r="B23" s="88" t="s">
        <v>8</v>
      </c>
      <c r="C23" s="61">
        <f>IFERROR((d_DL/(Rad_Spec!V23*d_IFD_w*d_EF_w))*1,".")</f>
        <v>1.9698999290836024E-2</v>
      </c>
      <c r="D23" s="61">
        <f>IFERROR((d_DL/(Rad_Spec!AN23*d_IRA_w*(1/d_PEFm_pp)*d_SLF*d_ET_w*d_EF_w))*1,".")</f>
        <v>1.4629257886588818E-5</v>
      </c>
      <c r="E23" s="61">
        <f>IFERROR((d_DL/(Rad_Spec!AN23*d_IRA_w*(1/d_PEF)*d_SLF*d_ET_w*d_EF_w))*1,".")</f>
        <v>1.0695343539839374E-2</v>
      </c>
      <c r="F23" s="61">
        <f>IFERROR((d_DL/(Rad_Spec!AY23*d_GSF_s*d_Fam*d_Foffset*acf!C23*d_ET_w*(1/24)*d_EF_w*(1/365)))*1,".")</f>
        <v>560.89702545294369</v>
      </c>
      <c r="G23" s="61">
        <f t="shared" si="6"/>
        <v>6.931716281765584E-3</v>
      </c>
      <c r="H23" s="61">
        <f t="shared" si="7"/>
        <v>1.4618401300926185E-5</v>
      </c>
      <c r="I23" s="74">
        <f>IFERROR((d_DL/(Rad_Spec!AV23*d_GSF_s*d_Fam*d_Foffset*Fsurf!C23*d_EF_w*(1/365)*d_ET_w*(1/24)))*1,".")</f>
        <v>106.75440481348299</v>
      </c>
      <c r="J23" s="61">
        <f>IFERROR((d_DL/(Rad_Spec!AZ23*d_GSF_s*d_Fam*d_Foffset*Fsurf!C23*d_EF_w*(1/365)*d_ET_w*(1/24)))*1,".")</f>
        <v>428.02473628047426</v>
      </c>
      <c r="K23" s="61">
        <f>IFERROR((d_DL/(Rad_Spec!BA23*d_GSF_s*d_Fam*d_Foffset*Fsurf!C23*d_EF_w*(1/365)*d_ET_w*(1/24)))*1,".")</f>
        <v>155.11323776318042</v>
      </c>
      <c r="L23" s="61">
        <f>IFERROR((d_DL/(Rad_Spec!BB23*d_GSF_s*d_Fam*d_Foffset*Fsurf!C23*d_EF_w*(1/365)*d_ET_w*(1/24)))*1,".")</f>
        <v>109.32680011019342</v>
      </c>
      <c r="M23" s="61">
        <f>IFERROR((d_DL/(Rad_Spec!AY23*d_GSF_s*d_Fam*d_Foffset*Fsurf!C23*d_EF_w*(1/365)*d_ET_w*(1/24)))*1,".")</f>
        <v>434.13082465398105</v>
      </c>
      <c r="N23" s="61">
        <f>IFERROR((d_DL/(Rad_Spec!AV23*d_GSF_s*d_Fam*d_Foffset*acf!D23*d_ET_w*(1/24)*d_EF_w*(1/365)))*1,".")</f>
        <v>137.92669101902004</v>
      </c>
      <c r="O23" s="61">
        <f>IFERROR((d_DL/(Rad_Spec!AZ23*d_GSF_s*d_Fam*d_Foffset*acf!E23*d_ET_w*(1/24)*d_EF_w*(1/365)))*1,".")</f>
        <v>553.00795927437275</v>
      </c>
      <c r="P23" s="61">
        <f>IFERROR((d_DL/(Rad_Spec!BA23*d_GSF_s*d_Fam*d_Foffset*acf!F23*d_ET_w*(1/24)*d_EF_w*(1/365)))*1,".")</f>
        <v>200.40630319002912</v>
      </c>
      <c r="Q23" s="61">
        <f>IFERROR((d_DL/(Rad_Spec!BB23*d_GSF_s*d_Fam*d_Foffset*acf!G23*d_ET_w*(1/24)*d_EF_w*(1/365)))*1,".")</f>
        <v>141.25022574236991</v>
      </c>
      <c r="R23" s="61">
        <f>IFERROR((d_DL/(Rad_Spec!AY23*d_GSF_s*d_Fam*d_Foffset*acf!C23*d_ET_w*(1/24)*d_EF_w*(1/365)))*1,".")</f>
        <v>560.89702545294369</v>
      </c>
    </row>
    <row r="24" spans="1:18">
      <c r="A24" s="60" t="s">
        <v>29</v>
      </c>
      <c r="B24" s="88" t="s">
        <v>6</v>
      </c>
      <c r="C24" s="61" t="str">
        <f>IFERROR((d_DL/(Rad_Spec!V24*d_IFD_w*d_EF_w))*1,".")</f>
        <v>.</v>
      </c>
      <c r="D24" s="61" t="str">
        <f>IFERROR((d_DL/(Rad_Spec!AN24*d_IRA_w*(1/d_PEFm_pp)*d_SLF*d_ET_w*d_EF_w))*1,".")</f>
        <v>.</v>
      </c>
      <c r="E24" s="61" t="str">
        <f>IFERROR((d_DL/(Rad_Spec!AN24*d_IRA_w*(1/d_PEF)*d_SLF*d_ET_w*d_EF_w))*1,".")</f>
        <v>.</v>
      </c>
      <c r="F24" s="61">
        <f>IFERROR((d_DL/(Rad_Spec!AY24*d_GSF_s*d_Fam*d_Foffset*acf!C24*d_ET_w*(1/24)*d_EF_w*(1/365)))*1,".")</f>
        <v>5175.1272514166612</v>
      </c>
      <c r="G24" s="61">
        <f t="shared" si="6"/>
        <v>5175.1272514166612</v>
      </c>
      <c r="H24" s="61">
        <f t="shared" si="7"/>
        <v>5175.1272514166612</v>
      </c>
      <c r="I24" s="74">
        <f>IFERROR((d_DL/(Rad_Spec!AV24*d_GSF_s*d_Fam*d_Foffset*Fsurf!C24*d_EF_w*(1/365)*d_ET_w*(1/24)))*1,".")</f>
        <v>862.02914196972836</v>
      </c>
      <c r="J24" s="61">
        <f>IFERROR((d_DL/(Rad_Spec!AZ24*d_GSF_s*d_Fam*d_Foffset*Fsurf!C24*d_EF_w*(1/365)*d_ET_w*(1/24)))*1,".")</f>
        <v>4281.9748228561684</v>
      </c>
      <c r="K24" s="61">
        <f>IFERROR((d_DL/(Rad_Spec!BA24*d_GSF_s*d_Fam*d_Foffset*Fsurf!C24*d_EF_w*(1/365)*d_ET_w*(1/24)))*1,".")</f>
        <v>1500.3255295350998</v>
      </c>
      <c r="L24" s="61">
        <f>IFERROR((d_DL/(Rad_Spec!BB24*d_GSF_s*d_Fam*d_Foffset*Fsurf!C24*d_EF_w*(1/365)*d_ET_w*(1/24)))*1,".")</f>
        <v>963.44433514263767</v>
      </c>
      <c r="M24" s="61">
        <f>IFERROR((d_DL/(Rad_Spec!AY24*d_GSF_s*d_Fam*d_Foffset*Fsurf!C24*d_EF_w*(1/365)*d_ET_w*(1/24)))*1,".")</f>
        <v>4337.9105208857172</v>
      </c>
      <c r="N24" s="61">
        <f>IFERROR((d_DL/(Rad_Spec!AV24*d_GSF_s*d_Fam*d_Foffset*acf!D24*d_ET_w*(1/24)*d_EF_w*(1/365)))*1,".")</f>
        <v>1028.400766369886</v>
      </c>
      <c r="O24" s="61">
        <f>IFERROR((d_DL/(Rad_Spec!AZ24*d_GSF_s*d_Fam*d_Foffset*acf!E24*d_ET_w*(1/24)*d_EF_w*(1/365)))*1,".")</f>
        <v>5108.395963667409</v>
      </c>
      <c r="P24" s="61">
        <f>IFERROR((d_DL/(Rad_Spec!BA24*d_GSF_s*d_Fam*d_Foffset*acf!F24*d_ET_w*(1/24)*d_EF_w*(1/365)))*1,".")</f>
        <v>1789.8883567353746</v>
      </c>
      <c r="Q24" s="61">
        <f>IFERROR((d_DL/(Rad_Spec!BB24*d_GSF_s*d_Fam*d_Foffset*acf!G24*d_ET_w*(1/24)*d_EF_w*(1/365)))*1,".")</f>
        <v>1149.3890918251668</v>
      </c>
      <c r="R24" s="61">
        <f>IFERROR((d_DL/(Rad_Spec!AY24*d_GSF_s*d_Fam*d_Foffset*acf!C24*d_ET_w*(1/24)*d_EF_w*(1/365)))*1,".")</f>
        <v>5175.1272514166612</v>
      </c>
    </row>
    <row r="25" spans="1:18">
      <c r="A25" s="62" t="s">
        <v>30</v>
      </c>
      <c r="B25" s="88" t="s">
        <v>8</v>
      </c>
      <c r="C25" s="61" t="str">
        <f>IFERROR((d_DL/(Rad_Spec!V25*d_IFD_w*d_EF_w))*1,".")</f>
        <v>.</v>
      </c>
      <c r="D25" s="61">
        <f>IFERROR((d_DL/(Rad_Spec!AN25*d_IRA_w*(1/d_PEFm_pp)*d_SLF*d_ET_w*d_EF_w))*1,".")</f>
        <v>8.5117712680595412E-2</v>
      </c>
      <c r="E25" s="61">
        <f>IFERROR((d_DL/(Rad_Spec!AN25*d_IRA_w*(1/d_PEF)*d_SLF*d_ET_w*d_EF_w))*1,".")</f>
        <v>62.228937756225733</v>
      </c>
      <c r="F25" s="61">
        <f>IFERROR((d_DL/(Rad_Spec!AY25*d_GSF_s*d_Fam*d_Foffset*acf!C25*d_ET_w*(1/24)*d_EF_w*(1/365)))*1,".")</f>
        <v>10072.021854907698</v>
      </c>
      <c r="G25" s="61">
        <f t="shared" si="6"/>
        <v>61.846823599639883</v>
      </c>
      <c r="H25" s="61">
        <f t="shared" si="7"/>
        <v>8.5116993364862198E-2</v>
      </c>
      <c r="I25" s="74">
        <f>IFERROR((d_DL/(Rad_Spec!AV25*d_GSF_s*d_Fam*d_Foffset*Fsurf!C25*d_EF_w*(1/365)*d_ET_w*(1/24)))*1,".")</f>
        <v>1712.5741321729995</v>
      </c>
      <c r="J25" s="61">
        <f>IFERROR((d_DL/(Rad_Spec!AZ25*d_GSF_s*d_Fam*d_Foffset*Fsurf!C25*d_EF_w*(1/365)*d_ET_w*(1/24)))*1,".")</f>
        <v>8272.6038588017782</v>
      </c>
      <c r="K25" s="61">
        <f>IFERROR((d_DL/(Rad_Spec!BA25*d_GSF_s*d_Fam*d_Foffset*Fsurf!C25*d_EF_w*(1/365)*d_ET_w*(1/24)))*1,".")</f>
        <v>2900.9428093272204</v>
      </c>
      <c r="L25" s="61">
        <f>IFERROR((d_DL/(Rad_Spec!BB25*d_GSF_s*d_Fam*d_Foffset*Fsurf!C25*d_EF_w*(1/365)*d_ET_w*(1/24)))*1,".")</f>
        <v>1877.2447218050183</v>
      </c>
      <c r="M25" s="61">
        <f>IFERROR((d_DL/(Rad_Spec!AY25*d_GSF_s*d_Fam*d_Foffset*Fsurf!C25*d_EF_w*(1/365)*d_ET_w*(1/24)))*1,".")</f>
        <v>8386.3629099980826</v>
      </c>
      <c r="N25" s="61">
        <f>IFERROR((d_DL/(Rad_Spec!AV25*d_GSF_s*d_Fam*d_Foffset*acf!D25*d_ET_w*(1/24)*d_EF_w*(1/365)))*1,".")</f>
        <v>2056.801532739772</v>
      </c>
      <c r="O25" s="61">
        <f>IFERROR((d_DL/(Rad_Spec!AZ25*d_GSF_s*d_Fam*d_Foffset*acf!E25*d_ET_w*(1/24)*d_EF_w*(1/365)))*1,".")</f>
        <v>9935.3972344209342</v>
      </c>
      <c r="P25" s="61">
        <f>IFERROR((d_DL/(Rad_Spec!BA25*d_GSF_s*d_Fam*d_Foffset*acf!F25*d_ET_w*(1/24)*d_EF_w*(1/365)))*1,".")</f>
        <v>3484.0323140019918</v>
      </c>
      <c r="Q25" s="61">
        <f>IFERROR((d_DL/(Rad_Spec!BB25*d_GSF_s*d_Fam*d_Foffset*acf!G25*d_ET_w*(1/24)*d_EF_w*(1/365)))*1,".")</f>
        <v>2254.5709108878273</v>
      </c>
      <c r="R25" s="61">
        <f>IFERROR((d_DL/(Rad_Spec!AY25*d_GSF_s*d_Fam*d_Foffset*acf!C25*d_ET_w*(1/24)*d_EF_w*(1/365)))*1,".")</f>
        <v>10072.021854907698</v>
      </c>
    </row>
    <row r="26" spans="1:18">
      <c r="A26" s="60" t="s">
        <v>31</v>
      </c>
      <c r="B26" s="88" t="s">
        <v>6</v>
      </c>
      <c r="C26" s="61">
        <f>IFERROR((d_DL/(Rad_Spec!V26*d_IFD_w*d_EF_w))*1,".")</f>
        <v>1.1053546696260696E-2</v>
      </c>
      <c r="D26" s="61">
        <f>IFERROR((d_DL/(Rad_Spec!AN26*d_IRA_w*(1/d_PEFm_pp)*d_SLF*d_ET_w*d_EF_w))*1,".")</f>
        <v>1.9957795527399315E-6</v>
      </c>
      <c r="E26" s="61">
        <f>IFERROR((d_DL/(Rad_Spec!AN26*d_IRA_w*(1/d_PEF)*d_SLF*d_ET_w*d_EF_w))*1,".")</f>
        <v>1.4590998471568945E-3</v>
      </c>
      <c r="F26" s="61">
        <f>IFERROR((d_DL/(Rad_Spec!AY26*d_GSF_s*d_Fam*d_Foffset*acf!C26*d_ET_w*(1/24)*d_EF_w*(1/365)))*1,".")</f>
        <v>48.345704903556936</v>
      </c>
      <c r="G26" s="61">
        <f t="shared" si="6"/>
        <v>1.288919834244551E-3</v>
      </c>
      <c r="H26" s="61">
        <f t="shared" si="7"/>
        <v>1.9954191862944222E-6</v>
      </c>
      <c r="I26" s="74">
        <f>IFERROR((d_DL/(Rad_Spec!AV26*d_GSF_s*d_Fam*d_Foffset*Fsurf!C26*d_EF_w*(1/365)*d_ET_w*(1/24)))*1,".")</f>
        <v>10.891039831128609</v>
      </c>
      <c r="J26" s="61">
        <f>IFERROR((d_DL/(Rad_Spec!AZ26*d_GSF_s*d_Fam*d_Foffset*Fsurf!C26*d_EF_w*(1/365)*d_ET_w*(1/24)))*1,".")</f>
        <v>36.540743659995769</v>
      </c>
      <c r="K26" s="61">
        <f>IFERROR((d_DL/(Rad_Spec!BA26*d_GSF_s*d_Fam*d_Foffset*Fsurf!C26*d_EF_w*(1/365)*d_ET_w*(1/24)))*1,".")</f>
        <v>14.335214820459882</v>
      </c>
      <c r="L26" s="61">
        <f>IFERROR((d_DL/(Rad_Spec!BB26*d_GSF_s*d_Fam*d_Foffset*Fsurf!C26*d_EF_w*(1/365)*d_ET_w*(1/24)))*1,".")</f>
        <v>11.034342986801352</v>
      </c>
      <c r="M26" s="61">
        <f>IFERROR((d_DL/(Rad_Spec!AY26*d_GSF_s*d_Fam*d_Foffset*Fsurf!C26*d_EF_w*(1/365)*d_ET_w*(1/24)))*1,".")</f>
        <v>34.582049287236728</v>
      </c>
      <c r="N26" s="61">
        <f>IFERROR((d_DL/(Rad_Spec!AV26*d_GSF_s*d_Fam*d_Foffset*acf!D26*d_ET_w*(1/24)*d_EF_w*(1/365)))*1,".")</f>
        <v>15.225673683917798</v>
      </c>
      <c r="O26" s="61">
        <f>IFERROR((d_DL/(Rad_Spec!AZ26*d_GSF_s*d_Fam*d_Foffset*acf!E26*d_ET_w*(1/24)*d_EF_w*(1/365)))*1,".")</f>
        <v>51.083959636674088</v>
      </c>
      <c r="P26" s="61">
        <f>IFERROR((d_DL/(Rad_Spec!BA26*d_GSF_s*d_Fam*d_Foffset*acf!F26*d_ET_w*(1/24)*d_EF_w*(1/365)))*1,".")</f>
        <v>20.040630319002908</v>
      </c>
      <c r="Q26" s="61">
        <f>IFERROR((d_DL/(Rad_Spec!BB26*d_GSF_s*d_Fam*d_Foffset*acf!G26*d_ET_w*(1/24)*d_EF_w*(1/365)))*1,".")</f>
        <v>15.426011495548295</v>
      </c>
      <c r="R26" s="61">
        <f>IFERROR((d_DL/(Rad_Spec!AY26*d_GSF_s*d_Fam*d_Foffset*acf!C26*d_ET_w*(1/24)*d_EF_w*(1/365)))*1,".")</f>
        <v>48.345704903556936</v>
      </c>
    </row>
    <row r="27" spans="1:18">
      <c r="A27" s="60" t="s">
        <v>32</v>
      </c>
      <c r="B27" s="88" t="s">
        <v>6</v>
      </c>
      <c r="C27" s="61" t="str">
        <f>IFERROR((d_DL/(Rad_Spec!V27*d_IFD_w*d_EF_w))*1,".")</f>
        <v>.</v>
      </c>
      <c r="D27" s="61" t="str">
        <f>IFERROR((d_DL/(Rad_Spec!AN27*d_IRA_w*(1/d_PEFm_pp)*d_SLF*d_ET_w*d_EF_w))*1,".")</f>
        <v>.</v>
      </c>
      <c r="E27" s="61" t="str">
        <f>IFERROR((d_DL/(Rad_Spec!AN27*d_IRA_w*(1/d_PEF)*d_SLF*d_ET_w*d_EF_w))*1,".")</f>
        <v>.</v>
      </c>
      <c r="F27" s="61">
        <f>IFERROR((d_DL/(Rad_Spec!AY27*d_GSF_s*d_Fam*d_Foffset*acf!C27*d_ET_w*(1/24)*d_EF_w*(1/365)))*1,".")</f>
        <v>61.222093627870315</v>
      </c>
      <c r="G27" s="61">
        <f t="shared" si="6"/>
        <v>61.222093627870315</v>
      </c>
      <c r="H27" s="61">
        <f t="shared" si="7"/>
        <v>61.222093627870315</v>
      </c>
      <c r="I27" s="74">
        <f>IFERROR((d_DL/(Rad_Spec!AV27*d_GSF_s*d_Fam*d_Foffset*Fsurf!C27*d_EF_w*(1/365)*d_ET_w*(1/24)))*1,".")</f>
        <v>256.77921757050842</v>
      </c>
      <c r="J27" s="61">
        <f>IFERROR((d_DL/(Rad_Spec!AZ27*d_GSF_s*d_Fam*d_Foffset*Fsurf!C27*d_EF_w*(1/365)*d_ET_w*(1/24)))*1,".")</f>
        <v>432.60341088233446</v>
      </c>
      <c r="K27" s="61">
        <f>IFERROR((d_DL/(Rad_Spec!BA27*d_GSF_s*d_Fam*d_Foffset*Fsurf!C27*d_EF_w*(1/365)*d_ET_w*(1/24)))*1,".")</f>
        <v>310.31269402513738</v>
      </c>
      <c r="L27" s="61">
        <f>IFERROR((d_DL/(Rad_Spec!BB27*d_GSF_s*d_Fam*d_Foffset*Fsurf!C27*d_EF_w*(1/365)*d_ET_w*(1/24)))*1,".")</f>
        <v>263.32381531968178</v>
      </c>
      <c r="M27" s="61">
        <f>IFERROR((d_DL/(Rad_Spec!AY27*d_GSF_s*d_Fam*d_Foffset*Fsurf!C27*d_EF_w*(1/365)*d_ET_w*(1/24)))*1,".")</f>
        <v>45.859246163198733</v>
      </c>
      <c r="N27" s="61">
        <f>IFERROR((d_DL/(Rad_Spec!AV27*d_GSF_s*d_Fam*d_Foffset*acf!D27*d_ET_w*(1/24)*d_EF_w*(1/365)))*1,".")</f>
        <v>342.80025545662875</v>
      </c>
      <c r="O27" s="61">
        <f>IFERROR((d_DL/(Rad_Spec!AZ27*d_GSF_s*d_Fam*d_Foffset*acf!E27*d_ET_w*(1/24)*d_EF_w*(1/365)))*1,".")</f>
        <v>577.52555352791637</v>
      </c>
      <c r="P27" s="61">
        <f>IFERROR((d_DL/(Rad_Spec!BA27*d_GSF_s*d_Fam*d_Foffset*acf!F27*d_ET_w*(1/24)*d_EF_w*(1/365)))*1,".")</f>
        <v>414.26744652355842</v>
      </c>
      <c r="Q27" s="61">
        <f>IFERROR((d_DL/(Rad_Spec!BB27*d_GSF_s*d_Fam*d_Foffset*acf!G27*d_ET_w*(1/24)*d_EF_w*(1/365)))*1,".")</f>
        <v>351.53729345177527</v>
      </c>
      <c r="R27" s="61">
        <f>IFERROR((d_DL/(Rad_Spec!AY27*d_GSF_s*d_Fam*d_Foffset*acf!C27*d_ET_w*(1/24)*d_EF_w*(1/365)))*1,".")</f>
        <v>61.222093627870315</v>
      </c>
    </row>
    <row r="28" spans="1:18">
      <c r="A28" s="60" t="s">
        <v>33</v>
      </c>
      <c r="B28" s="88" t="s">
        <v>6</v>
      </c>
      <c r="C28" s="61" t="str">
        <f>IFERROR((d_DL/(Rad_Spec!V28*d_IFD_w*d_EF_w))*1,".")</f>
        <v>.</v>
      </c>
      <c r="D28" s="61" t="str">
        <f>IFERROR((d_DL/(Rad_Spec!AN28*d_IRA_w*(1/d_PEFm_pp)*d_SLF*d_ET_w*d_EF_w))*1,".")</f>
        <v>.</v>
      </c>
      <c r="E28" s="61" t="str">
        <f>IFERROR((d_DL/(Rad_Spec!AN28*d_IRA_w*(1/d_PEF)*d_SLF*d_ET_w*d_EF_w))*1,".")</f>
        <v>.</v>
      </c>
      <c r="F28" s="61">
        <f>IFERROR((d_DL/(Rad_Spec!AY28*d_GSF_s*d_Fam*d_Foffset*acf!C28*d_ET_w*(1/24)*d_EF_w*(1/365)))*1,".")</f>
        <v>1.8548475891216152</v>
      </c>
      <c r="G28" s="61">
        <f t="shared" si="6"/>
        <v>1.8548475891216152</v>
      </c>
      <c r="H28" s="61">
        <f t="shared" si="7"/>
        <v>1.8548475891216152</v>
      </c>
      <c r="I28" s="74">
        <f>IFERROR((d_DL/(Rad_Spec!AV28*d_GSF_s*d_Fam*d_Foffset*Fsurf!C28*d_EF_w*(1/365)*d_ET_w*(1/24)))*1,".")</f>
        <v>0.29312023283608168</v>
      </c>
      <c r="J28" s="61">
        <f>IFERROR((d_DL/(Rad_Spec!AZ28*d_GSF_s*d_Fam*d_Foffset*Fsurf!C28*d_EF_w*(1/365)*d_ET_w*(1/24)))*1,".")</f>
        <v>1.6028558763814311</v>
      </c>
      <c r="K28" s="61">
        <f>IFERROR((d_DL/(Rad_Spec!BA28*d_GSF_s*d_Fam*d_Foffset*Fsurf!C28*d_EF_w*(1/365)*d_ET_w*(1/24)))*1,".")</f>
        <v>0.55790011166867493</v>
      </c>
      <c r="L28" s="61">
        <f>IFERROR((d_DL/(Rad_Spec!BB28*d_GSF_s*d_Fam*d_Foffset*Fsurf!C28*d_EF_w*(1/365)*d_ET_w*(1/24)))*1,".")</f>
        <v>0.34880801454932703</v>
      </c>
      <c r="M28" s="61">
        <f>IFERROR((d_DL/(Rad_Spec!AY28*d_GSF_s*d_Fam*d_Foffset*Fsurf!C28*d_EF_w*(1/365)*d_ET_w*(1/24)))*1,".")</f>
        <v>1.5976292757292121</v>
      </c>
      <c r="N28" s="61">
        <f>IFERROR((d_DL/(Rad_Spec!AV28*d_GSF_s*d_Fam*d_Foffset*acf!D28*d_ET_w*(1/24)*d_EF_w*(1/365)))*1,".")</f>
        <v>0.3403125903226909</v>
      </c>
      <c r="O28" s="61">
        <f>IFERROR((d_DL/(Rad_Spec!AZ28*d_GSF_s*d_Fam*d_Foffset*acf!E28*d_ET_w*(1/24)*d_EF_w*(1/365)))*1,".")</f>
        <v>1.8609156724788414</v>
      </c>
      <c r="P28" s="61">
        <f>IFERROR((d_DL/(Rad_Spec!BA28*d_GSF_s*d_Fam*d_Foffset*acf!F28*d_ET_w*(1/24)*d_EF_w*(1/365)))*1,".")</f>
        <v>0.64772202964733161</v>
      </c>
      <c r="Q28" s="61">
        <f>IFERROR((d_DL/(Rad_Spec!BB28*d_GSF_s*d_Fam*d_Foffset*acf!G28*d_ET_w*(1/24)*d_EF_w*(1/365)))*1,".")</f>
        <v>0.4049661048917686</v>
      </c>
      <c r="R28" s="61">
        <f>IFERROR((d_DL/(Rad_Spec!AY28*d_GSF_s*d_Fam*d_Foffset*acf!C28*d_ET_w*(1/24)*d_EF_w*(1/365)))*1,".")</f>
        <v>1.8548475891216152</v>
      </c>
    </row>
    <row r="29" spans="1:18">
      <c r="A29" s="60" t="s">
        <v>34</v>
      </c>
      <c r="B29" s="88" t="s">
        <v>6</v>
      </c>
      <c r="C29" s="61" t="str">
        <f>IFERROR((d_DL/(Rad_Spec!V29*d_IFD_w*d_EF_w))*1,".")</f>
        <v>.</v>
      </c>
      <c r="D29" s="61" t="str">
        <f>IFERROR((d_DL/(Rad_Spec!AN29*d_IRA_w*(1/d_PEFm_pp)*d_SLF*d_ET_w*d_EF_w))*1,".")</f>
        <v>.</v>
      </c>
      <c r="E29" s="61" t="str">
        <f>IFERROR((d_DL/(Rad_Spec!AN29*d_IRA_w*(1/d_PEF)*d_SLF*d_ET_w*d_EF_w))*1,".")</f>
        <v>.</v>
      </c>
      <c r="F29" s="61">
        <f>IFERROR((d_DL/(Rad_Spec!AY29*d_GSF_s*d_Fam*d_Foffset*acf!C29*d_ET_w*(1/24)*d_EF_w*(1/365)))*1,".")</f>
        <v>1.4192394431915392</v>
      </c>
      <c r="G29" s="61">
        <f t="shared" si="6"/>
        <v>1.4192394431915392</v>
      </c>
      <c r="H29" s="61">
        <f t="shared" si="7"/>
        <v>1.4192394431915392</v>
      </c>
      <c r="I29" s="74" t="str">
        <f>IFERROR((d_DL/(Rad_Spec!AV29*d_GSF_s*d_Fam*d_Foffset*Fsurf!C29*d_EF_w*(1/365)*d_ET_w*(1/24)))*1,".")</f>
        <v>.</v>
      </c>
      <c r="J29" s="61" t="str">
        <f>IFERROR((d_DL/(Rad_Spec!AZ29*d_GSF_s*d_Fam*d_Foffset*Fsurf!C29*d_EF_w*(1/365)*d_ET_w*(1/24)))*1,".")</f>
        <v>.</v>
      </c>
      <c r="K29" s="61" t="str">
        <f>IFERROR((d_DL/(Rad_Spec!BA29*d_GSF_s*d_Fam*d_Foffset*Fsurf!C29*d_EF_w*(1/365)*d_ET_w*(1/24)))*1,".")</f>
        <v>.</v>
      </c>
      <c r="L29" s="61" t="str">
        <f>IFERROR((d_DL/(Rad_Spec!BB29*d_GSF_s*d_Fam*d_Foffset*Fsurf!C29*d_EF_w*(1/365)*d_ET_w*(1/24)))*1,".")</f>
        <v>.</v>
      </c>
      <c r="M29" s="61" t="str">
        <f>IFERROR((d_DL/(Rad_Spec!AY29*d_GSF_s*d_Fam*d_Foffset*Fsurf!C29*d_EF_w*(1/365)*d_ET_w*(1/24)))*1,".")</f>
        <v>.</v>
      </c>
      <c r="N29" s="61">
        <f>IFERROR((d_DL/(Rad_Spec!AV29*d_GSF_s*d_Fam*d_Foffset*acf!D29*d_ET_w*(1/24)*d_EF_w*(1/365)))*1,".")</f>
        <v>0.2611084351139577</v>
      </c>
      <c r="O29" s="61">
        <f>IFERROR((d_DL/(Rad_Spec!AZ29*d_GSF_s*d_Fam*d_Foffset*acf!E29*d_ET_w*(1/24)*d_EF_w*(1/365)))*1,".")</f>
        <v>1.4297278947093539</v>
      </c>
      <c r="P29" s="61">
        <f>IFERROR((d_DL/(Rad_Spec!BA29*d_GSF_s*d_Fam*d_Foffset*acf!F29*d_ET_w*(1/24)*d_EF_w*(1/365)))*1,".")</f>
        <v>0.49782457480325693</v>
      </c>
      <c r="Q29" s="61">
        <f>IFERROR((d_DL/(Rad_Spec!BB29*d_GSF_s*d_Fam*d_Foffset*acf!G29*d_ET_w*(1/24)*d_EF_w*(1/365)))*1,".")</f>
        <v>0.30974289925011106</v>
      </c>
      <c r="R29" s="61">
        <f>IFERROR((d_DL/(Rad_Spec!AY29*d_GSF_s*d_Fam*d_Foffset*acf!C29*d_ET_w*(1/24)*d_EF_w*(1/365)))*1,".")</f>
        <v>1.4192394431915392</v>
      </c>
    </row>
    <row r="30" spans="1:18">
      <c r="A30" s="60" t="s">
        <v>35</v>
      </c>
      <c r="B30" s="88" t="s">
        <v>6</v>
      </c>
      <c r="C30" s="61">
        <f>IFERROR((d_DL/(Rad_Spec!V30*d_IFD_w*d_EF_w))*1,".")</f>
        <v>0.10772890237175951</v>
      </c>
      <c r="D30" s="61">
        <f>IFERROR((d_DL/(Rad_Spec!AN30*d_IRA_w*(1/d_PEFm_pp)*d_SLF*d_ET_w*d_EF_w))*1,".")</f>
        <v>1.4629257886588818E-5</v>
      </c>
      <c r="E30" s="61">
        <f>IFERROR((d_DL/(Rad_Spec!AN30*d_IRA_w*(1/d_PEF)*d_SLF*d_ET_w*d_EF_w))*1,".")</f>
        <v>1.0695343539839374E-2</v>
      </c>
      <c r="F30" s="61">
        <f>IFERROR((d_DL/(Rad_Spec!AY30*d_GSF_s*d_Fam*d_Foffset*acf!C30*d_ET_w*(1/24)*d_EF_w*(1/365)))*1,".")</f>
        <v>7871.4120378690404</v>
      </c>
      <c r="G30" s="61">
        <f t="shared" si="6"/>
        <v>9.7293944073871385E-3</v>
      </c>
      <c r="H30" s="61">
        <f t="shared" si="7"/>
        <v>1.462727152033824E-5</v>
      </c>
      <c r="I30" s="74">
        <f>IFERROR((d_DL/(Rad_Spec!AV30*d_GSF_s*d_Fam*d_Foffset*Fsurf!C30*d_EF_w*(1/365)*d_ET_w*(1/24)))*1,".")</f>
        <v>3332.6990552665593</v>
      </c>
      <c r="J30" s="61">
        <f>IFERROR((d_DL/(Rad_Spec!AZ30*d_GSF_s*d_Fam*d_Foffset*Fsurf!C30*d_EF_w*(1/365)*d_ET_w*(1/24)))*1,".")</f>
        <v>11308.192656490673</v>
      </c>
      <c r="K30" s="61">
        <f>IFERROR((d_DL/(Rad_Spec!BA30*d_GSF_s*d_Fam*d_Foffset*Fsurf!C30*d_EF_w*(1/365)*d_ET_w*(1/24)))*1,".")</f>
        <v>4671.4755988351781</v>
      </c>
      <c r="L30" s="61">
        <f>IFERROR((d_DL/(Rad_Spec!BB30*d_GSF_s*d_Fam*d_Foffset*Fsurf!C30*d_EF_w*(1/365)*d_ET_w*(1/24)))*1,".")</f>
        <v>3444.7225529225784</v>
      </c>
      <c r="M30" s="61">
        <f>IFERROR((d_DL/(Rad_Spec!AY30*d_GSF_s*d_Fam*d_Foffset*Fsurf!C30*d_EF_w*(1/365)*d_ET_w*(1/24)))*1,".")</f>
        <v>5504.4839425657619</v>
      </c>
      <c r="N30" s="61">
        <f>IFERROR((d_DL/(Rad_Spec!AV30*d_GSF_s*d_Fam*d_Foffset*acf!D30*d_ET_w*(1/24)*d_EF_w*(1/365)))*1,".")</f>
        <v>4765.7596490311807</v>
      </c>
      <c r="O30" s="61">
        <f>IFERROR((d_DL/(Rad_Spec!AZ30*d_GSF_s*d_Fam*d_Foffset*acf!E30*d_ET_w*(1/24)*d_EF_w*(1/365)))*1,".")</f>
        <v>16170.715498781658</v>
      </c>
      <c r="P30" s="61">
        <f>IFERROR((d_DL/(Rad_Spec!BA30*d_GSF_s*d_Fam*d_Foffset*acf!F30*d_ET_w*(1/24)*d_EF_w*(1/365)))*1,".")</f>
        <v>6680.2101063343034</v>
      </c>
      <c r="Q30" s="61">
        <f>IFERROR((d_DL/(Rad_Spec!BB30*d_GSF_s*d_Fam*d_Foffset*acf!G30*d_ET_w*(1/24)*d_EF_w*(1/365)))*1,".")</f>
        <v>4925.9532506792875</v>
      </c>
      <c r="R30" s="61">
        <f>IFERROR((d_DL/(Rad_Spec!AY30*d_GSF_s*d_Fam*d_Foffset*acf!C30*d_ET_w*(1/24)*d_EF_w*(1/365)))*1,".")</f>
        <v>7871.4120378690404</v>
      </c>
    </row>
    <row r="31" spans="1:18">
      <c r="A31" s="63" t="s">
        <v>7</v>
      </c>
      <c r="B31" s="82" t="s">
        <v>6</v>
      </c>
      <c r="C31" s="67">
        <f>IFERROR(1/SUM(1/C32,1/C33,1/C34,1/C35,1/C36,1/C37,1/C38,1/C41,1/C44),0)</f>
        <v>5.5122984862415684E-3</v>
      </c>
      <c r="D31" s="67">
        <f t="shared" ref="D31:E31" si="8">IFERROR(1/SUM(1/D32,1/D33,1/D34,1/D35,1/D36,1/D37,1/D38,1/D41,1/D44),0)</f>
        <v>7.0369059868510335E-7</v>
      </c>
      <c r="E31" s="67">
        <f t="shared" si="8"/>
        <v>5.1446305458816065E-4</v>
      </c>
      <c r="F31" s="67">
        <f>IFERROR(1/SUM(1/F32,1/F33,1/F34,1/F35,1/F36,1/F37,1/F38,1/F39,1/F40,1/F41,1/F42,1/F43,1/F44),0)</f>
        <v>6.3872830823302573</v>
      </c>
      <c r="G31" s="73">
        <f t="shared" ref="G31:H31" si="9">IFERROR(1/SUM(1/G32,1/G33,1/G34,1/G35,1/G36,1/G37,1/G38,1/G39,1/G40,1/G41,1/G42,1/G43,1/G44),0)</f>
        <v>4.7051223053518358E-4</v>
      </c>
      <c r="H31" s="73">
        <f t="shared" si="9"/>
        <v>7.0360070070672493E-7</v>
      </c>
      <c r="I31" s="75">
        <f>IFERROR(1/SUM(1/I32,1/I33,1/I34,1/I35,1/I36,1/I37,1/I38,1/I39,1/I40,1/I41,1/I43,1/I44),0)</f>
        <v>1.3400529072368847</v>
      </c>
      <c r="J31" s="75">
        <f>IFERROR(1/SUM(1/J32,1/J33,1/J34,1/J35,1/J36,1/J37,1/J38,1/J39,1/J40,1/J41,1/J43,1/J44),0)</f>
        <v>5.5336405772278789</v>
      </c>
      <c r="K31" s="75">
        <f t="shared" ref="K31:N31" si="10">IFERROR(1/SUM(1/K32,1/K33,1/K34,1/K35,1/K36,1/K37,1/K38,1/K39,1/K40,1/K41,1/K43,1/K44),0)</f>
        <v>2.0571289320195043</v>
      </c>
      <c r="L31" s="75">
        <f t="shared" si="10"/>
        <v>1.4293591598878159</v>
      </c>
      <c r="M31" s="75">
        <f t="shared" si="10"/>
        <v>4.9653716528211227</v>
      </c>
      <c r="N31" s="75">
        <f t="shared" si="10"/>
        <v>1.7082581130624812</v>
      </c>
      <c r="O31" s="75">
        <f t="shared" ref="O31:R31" si="11">IFERROR(1/SUM(1/O32,1/O33,1/O34,1/O35,1/O36,1/O37,1/O38,1/O39,1/O40,1/O41,1/O42,1/O43,1/O44),0)</f>
        <v>7.1194538831351313</v>
      </c>
      <c r="P31" s="75">
        <f t="shared" si="11"/>
        <v>2.6381839447936559</v>
      </c>
      <c r="Q31" s="75">
        <f t="shared" si="11"/>
        <v>1.8260566111574448</v>
      </c>
      <c r="R31" s="75">
        <f t="shared" si="11"/>
        <v>6.3872830823302573</v>
      </c>
    </row>
    <row r="32" spans="1:18">
      <c r="A32" s="65" t="s">
        <v>390</v>
      </c>
      <c r="B32" s="89">
        <v>1</v>
      </c>
      <c r="C32" s="69">
        <f>IFERROR(C3/$B32,0)</f>
        <v>2.7037842163892579E-2</v>
      </c>
      <c r="D32" s="69">
        <f>IFERROR(D3/$B32,0)</f>
        <v>1.5359975151056557E-6</v>
      </c>
      <c r="E32" s="69">
        <f>IFERROR(E3/$B32,0)</f>
        <v>1.1229565592288026E-3</v>
      </c>
      <c r="F32" s="69">
        <f>IFERROR(F3/$B32,0)</f>
        <v>171.87119862503044</v>
      </c>
      <c r="G32" s="70">
        <f t="shared" ref="G32:G44" si="12">(IF(AND(C32&lt;&gt;0,E32&lt;&gt;0,F32&lt;&gt;0),1/((1/C32)+(1/E32)+(1/F32)),IF(AND(C32&lt;&gt;0,E32&lt;&gt;0,F32=0), 1/((1/C32)+(1/E32)),IF(AND(C32&lt;&gt;0,E32=0,F32&lt;&gt;0),1/((1/C32)+(1/F32)),IF(AND(C32=0,E32&lt;&gt;0,F32&lt;&gt;0),1/((1/E32)+(1/F32)),IF(AND(C32&lt;&gt;0,E32=0,F32=0),1/(1/C32),IF(AND(C32=0,E32&lt;&gt;0,F32=0),1/(1/E32),IF(AND(C32=0,E32=0,F32&lt;&gt;0),1/(1/F32),IF(AND(C32=0,E32=0,F32=0),0)))))))))</f>
        <v>1.0781701199993926E-3</v>
      </c>
      <c r="H32" s="70">
        <f t="shared" ref="H32:H44" si="13">(IF(AND(C32&lt;&gt;0,D32&lt;&gt;0,F32&lt;&gt;0),1/((1/C32)+(1/D32)+(1/F32)),IF(AND(C32&lt;&gt;0,D32&lt;&gt;0,F32=0), 1/((1/C32)+(1/D32)),IF(AND(C32&lt;&gt;0,D32=0,F32&lt;&gt;0),1/((1/C32)+(1/F32)),IF(AND(C32=0,D32&lt;&gt;0,F32&lt;&gt;0),1/((1/D32)+(1/F32)),IF(AND(C32&lt;&gt;0,D32=0,F32=0),1/(1/C32),IF(AND(C32=0,D32&lt;&gt;0,F32=0),1/(1/D32),IF(AND(C32=0,D32=0,F32&lt;&gt;0),1/(1/F32),IF(AND(C32=0,D32=0,F32=0),0)))))))))</f>
        <v>1.5359102475848697E-6</v>
      </c>
      <c r="I32" s="69">
        <f t="shared" ref="I32:R32" si="14">IFERROR(I3/$B32,0)</f>
        <v>84.584940038431213</v>
      </c>
      <c r="J32" s="69">
        <f t="shared" si="14"/>
        <v>171.75921497599811</v>
      </c>
      <c r="K32" s="69">
        <f t="shared" si="14"/>
        <v>90.985962527826032</v>
      </c>
      <c r="L32" s="69">
        <f t="shared" si="14"/>
        <v>84.584940038431213</v>
      </c>
      <c r="M32" s="69">
        <f t="shared" si="14"/>
        <v>123.38205213570023</v>
      </c>
      <c r="N32" s="69">
        <f t="shared" si="14"/>
        <v>117.82682147353469</v>
      </c>
      <c r="O32" s="69">
        <f t="shared" si="14"/>
        <v>239.26058646156534</v>
      </c>
      <c r="P32" s="69">
        <f t="shared" si="14"/>
        <v>126.74344580126166</v>
      </c>
      <c r="Q32" s="69">
        <f t="shared" si="14"/>
        <v>117.82682147353469</v>
      </c>
      <c r="R32" s="69">
        <f t="shared" si="14"/>
        <v>171.87119862503044</v>
      </c>
    </row>
    <row r="33" spans="1:18">
      <c r="A33" s="65" t="s">
        <v>391</v>
      </c>
      <c r="B33" s="89">
        <v>1</v>
      </c>
      <c r="C33" s="71">
        <f t="shared" ref="C33:F34" si="15">IFERROR(C13/$B33,0)</f>
        <v>5.1548783190972773E-2</v>
      </c>
      <c r="D33" s="71">
        <f t="shared" si="15"/>
        <v>1.1958837796179748E-5</v>
      </c>
      <c r="E33" s="71">
        <f t="shared" si="15"/>
        <v>8.7430189254242494E-3</v>
      </c>
      <c r="F33" s="71">
        <f t="shared" si="15"/>
        <v>153.55705450924847</v>
      </c>
      <c r="G33" s="70">
        <f t="shared" si="12"/>
        <v>7.4748146932344219E-3</v>
      </c>
      <c r="H33" s="70">
        <f t="shared" si="13"/>
        <v>1.1956063169708089E-5</v>
      </c>
      <c r="I33" s="71">
        <f t="shared" ref="I33:R33" si="16">IFERROR(I13/$B33,0)</f>
        <v>46.719223788128296</v>
      </c>
      <c r="J33" s="71">
        <f t="shared" si="16"/>
        <v>139.76834449948385</v>
      </c>
      <c r="K33" s="71">
        <f t="shared" si="16"/>
        <v>58.644060629154048</v>
      </c>
      <c r="L33" s="71">
        <f t="shared" si="16"/>
        <v>46.849724413234803</v>
      </c>
      <c r="M33" s="71">
        <f t="shared" si="16"/>
        <v>109.84052540003469</v>
      </c>
      <c r="N33" s="71">
        <f t="shared" si="16"/>
        <v>65.313474855803349</v>
      </c>
      <c r="O33" s="71">
        <f t="shared" si="16"/>
        <v>195.39614561027838</v>
      </c>
      <c r="P33" s="71">
        <f t="shared" si="16"/>
        <v>81.98439675955737</v>
      </c>
      <c r="Q33" s="71">
        <f t="shared" si="16"/>
        <v>65.49591472970225</v>
      </c>
      <c r="R33" s="71">
        <f t="shared" si="16"/>
        <v>153.55705450924847</v>
      </c>
    </row>
    <row r="34" spans="1:18">
      <c r="A34" s="65" t="s">
        <v>392</v>
      </c>
      <c r="B34" s="89">
        <v>1</v>
      </c>
      <c r="C34" s="71">
        <f t="shared" si="15"/>
        <v>5.7098548669089926</v>
      </c>
      <c r="D34" s="71">
        <f t="shared" si="15"/>
        <v>3.3044157068391415E-2</v>
      </c>
      <c r="E34" s="71">
        <f t="shared" si="15"/>
        <v>24.158341767619639</v>
      </c>
      <c r="F34" s="71">
        <f t="shared" si="15"/>
        <v>18.548475891216157</v>
      </c>
      <c r="G34" s="70">
        <f t="shared" si="12"/>
        <v>3.6976483945518717</v>
      </c>
      <c r="H34" s="70">
        <f t="shared" si="13"/>
        <v>3.2795933911699861E-2</v>
      </c>
      <c r="I34" s="71">
        <f t="shared" ref="I34:R34" si="17">IFERROR(I14/$B34,0)</f>
        <v>3.3299539116132308</v>
      </c>
      <c r="J34" s="71">
        <f t="shared" si="17"/>
        <v>14.289959699442607</v>
      </c>
      <c r="K34" s="71">
        <f t="shared" si="17"/>
        <v>5.1411469740204279</v>
      </c>
      <c r="L34" s="71">
        <f t="shared" si="17"/>
        <v>3.5171024841651377</v>
      </c>
      <c r="M34" s="71">
        <f t="shared" si="17"/>
        <v>14.356405488557396</v>
      </c>
      <c r="N34" s="71">
        <f t="shared" si="17"/>
        <v>4.3023004538042944</v>
      </c>
      <c r="O34" s="71">
        <f t="shared" si="17"/>
        <v>18.462627931679847</v>
      </c>
      <c r="P34" s="71">
        <f t="shared" si="17"/>
        <v>6.6423618904343922</v>
      </c>
      <c r="Q34" s="71">
        <f t="shared" si="17"/>
        <v>4.5440964095413579</v>
      </c>
      <c r="R34" s="71">
        <f t="shared" si="17"/>
        <v>18.548475891216157</v>
      </c>
    </row>
    <row r="35" spans="1:18">
      <c r="A35" s="65" t="s">
        <v>393</v>
      </c>
      <c r="B35" s="89">
        <v>1</v>
      </c>
      <c r="C35" s="71">
        <f>IFERROR(C30/$B35,0)</f>
        <v>0.10772890237175951</v>
      </c>
      <c r="D35" s="71">
        <f>IFERROR(D30/$B35,0)</f>
        <v>1.4629257886588818E-5</v>
      </c>
      <c r="E35" s="71">
        <f>IFERROR(E30/$B35,0)</f>
        <v>1.0695343539839374E-2</v>
      </c>
      <c r="F35" s="71">
        <f>IFERROR(F30/$B35,0)</f>
        <v>7871.4120378690404</v>
      </c>
      <c r="G35" s="70">
        <f t="shared" si="12"/>
        <v>9.7293944073871385E-3</v>
      </c>
      <c r="H35" s="70">
        <f t="shared" si="13"/>
        <v>1.462727152033824E-5</v>
      </c>
      <c r="I35" s="71">
        <f t="shared" ref="I35:R35" si="18">IFERROR(I30/$B35,0)</f>
        <v>3332.6990552665593</v>
      </c>
      <c r="J35" s="71">
        <f t="shared" si="18"/>
        <v>11308.192656490673</v>
      </c>
      <c r="K35" s="71">
        <f t="shared" si="18"/>
        <v>4671.4755988351781</v>
      </c>
      <c r="L35" s="71">
        <f t="shared" si="18"/>
        <v>3444.7225529225784</v>
      </c>
      <c r="M35" s="71">
        <f t="shared" si="18"/>
        <v>5504.4839425657619</v>
      </c>
      <c r="N35" s="71">
        <f t="shared" si="18"/>
        <v>4765.7596490311807</v>
      </c>
      <c r="O35" s="71">
        <f t="shared" si="18"/>
        <v>16170.715498781658</v>
      </c>
      <c r="P35" s="71">
        <f t="shared" si="18"/>
        <v>6680.2101063343034</v>
      </c>
      <c r="Q35" s="71">
        <f t="shared" si="18"/>
        <v>4925.9532506792875</v>
      </c>
      <c r="R35" s="71">
        <f t="shared" si="18"/>
        <v>7871.4120378690404</v>
      </c>
    </row>
    <row r="36" spans="1:18">
      <c r="A36" s="65" t="s">
        <v>394</v>
      </c>
      <c r="B36" s="89">
        <v>1</v>
      </c>
      <c r="C36" s="71">
        <f>IFERROR(C26/$B36,0)</f>
        <v>1.1053546696260696E-2</v>
      </c>
      <c r="D36" s="71">
        <f>IFERROR(D26/$B36,0)</f>
        <v>1.9957795527399315E-6</v>
      </c>
      <c r="E36" s="71">
        <f>IFERROR(E26/$B36,0)</f>
        <v>1.4590998471568945E-3</v>
      </c>
      <c r="F36" s="71">
        <f>IFERROR(F26/$B36,0)</f>
        <v>48.345704903556936</v>
      </c>
      <c r="G36" s="70">
        <f t="shared" si="12"/>
        <v>1.288919834244551E-3</v>
      </c>
      <c r="H36" s="70">
        <f t="shared" si="13"/>
        <v>1.9954191862944222E-6</v>
      </c>
      <c r="I36" s="71">
        <f t="shared" ref="I36:R36" si="19">IFERROR(I26/$B36,0)</f>
        <v>10.891039831128609</v>
      </c>
      <c r="J36" s="71">
        <f t="shared" si="19"/>
        <v>36.540743659995769</v>
      </c>
      <c r="K36" s="71">
        <f t="shared" si="19"/>
        <v>14.335214820459882</v>
      </c>
      <c r="L36" s="71">
        <f t="shared" si="19"/>
        <v>11.034342986801352</v>
      </c>
      <c r="M36" s="71">
        <f t="shared" si="19"/>
        <v>34.582049287236728</v>
      </c>
      <c r="N36" s="71">
        <f t="shared" si="19"/>
        <v>15.225673683917798</v>
      </c>
      <c r="O36" s="71">
        <f t="shared" si="19"/>
        <v>51.083959636674088</v>
      </c>
      <c r="P36" s="71">
        <f t="shared" si="19"/>
        <v>20.040630319002908</v>
      </c>
      <c r="Q36" s="71">
        <f t="shared" si="19"/>
        <v>15.426011495548295</v>
      </c>
      <c r="R36" s="71">
        <f t="shared" si="19"/>
        <v>48.345704903556936</v>
      </c>
    </row>
    <row r="37" spans="1:18">
      <c r="A37" s="65" t="s">
        <v>395</v>
      </c>
      <c r="B37" s="89">
        <v>1</v>
      </c>
      <c r="C37" s="71">
        <f>IFERROR(C22/$B37,0)</f>
        <v>5.5378712865804085E-2</v>
      </c>
      <c r="D37" s="71">
        <f>IFERROR(D22/$B37,0)</f>
        <v>1.7916927019246711E-5</v>
      </c>
      <c r="E37" s="71">
        <f>IFERROR(E22/$B37,0)</f>
        <v>1.3098934418590433E-2</v>
      </c>
      <c r="F37" s="71">
        <f>IFERROR(F22/$B37,0)</f>
        <v>340.61746636596939</v>
      </c>
      <c r="G37" s="70">
        <f t="shared" si="12"/>
        <v>1.0592939409237558E-2</v>
      </c>
      <c r="H37" s="70">
        <f t="shared" si="13"/>
        <v>1.7911131207299002E-5</v>
      </c>
      <c r="I37" s="71">
        <f t="shared" ref="I37:R37" si="20">IFERROR(I22/$B37,0)</f>
        <v>356.4631112879689</v>
      </c>
      <c r="J37" s="71">
        <f t="shared" si="20"/>
        <v>491.42457827850052</v>
      </c>
      <c r="K37" s="71">
        <f t="shared" si="20"/>
        <v>357.96400859865508</v>
      </c>
      <c r="L37" s="71">
        <f t="shared" si="20"/>
        <v>356.4631112879689</v>
      </c>
      <c r="M37" s="71">
        <f t="shared" si="20"/>
        <v>247.00323884406771</v>
      </c>
      <c r="N37" s="71">
        <f t="shared" si="20"/>
        <v>491.56263046610906</v>
      </c>
      <c r="O37" s="71">
        <f t="shared" si="20"/>
        <v>677.67449344605222</v>
      </c>
      <c r="P37" s="71">
        <f t="shared" si="20"/>
        <v>493.63236785754543</v>
      </c>
      <c r="Q37" s="71">
        <f t="shared" si="20"/>
        <v>491.56263046610906</v>
      </c>
      <c r="R37" s="71">
        <f t="shared" si="20"/>
        <v>340.61746636596939</v>
      </c>
    </row>
    <row r="38" spans="1:18">
      <c r="A38" s="65" t="s">
        <v>396</v>
      </c>
      <c r="B38" s="89">
        <v>1</v>
      </c>
      <c r="C38" s="71">
        <f>IFERROR(C2/$B38,0)</f>
        <v>0.14289429537394008</v>
      </c>
      <c r="D38" s="71">
        <f>IFERROR(D2/$B38,0)</f>
        <v>1.6414091092795734E-5</v>
      </c>
      <c r="E38" s="71">
        <f>IFERROR(E2/$B38,0)</f>
        <v>1.200022205450387E-2</v>
      </c>
      <c r="F38" s="71">
        <f>IFERROR(F2/$B38,0)</f>
        <v>283.84788863830778</v>
      </c>
      <c r="G38" s="70">
        <f t="shared" si="12"/>
        <v>1.1070090971378083E-2</v>
      </c>
      <c r="H38" s="70">
        <f t="shared" si="13"/>
        <v>1.6412204894035293E-5</v>
      </c>
      <c r="I38" s="71">
        <f t="shared" ref="I38:R38" si="21">IFERROR(I2/$B38,0)</f>
        <v>58.80304421909986</v>
      </c>
      <c r="J38" s="71">
        <f t="shared" si="21"/>
        <v>213.07633180544502</v>
      </c>
      <c r="K38" s="71">
        <f t="shared" si="21"/>
        <v>81.57481134316302</v>
      </c>
      <c r="L38" s="71">
        <f t="shared" si="21"/>
        <v>60.513678232746386</v>
      </c>
      <c r="M38" s="71">
        <f t="shared" si="21"/>
        <v>201.45343409390193</v>
      </c>
      <c r="N38" s="71">
        <f t="shared" si="21"/>
        <v>82.853489304711673</v>
      </c>
      <c r="O38" s="71">
        <f t="shared" si="21"/>
        <v>300.22455151387203</v>
      </c>
      <c r="P38" s="71">
        <f t="shared" si="21"/>
        <v>114.9389091825167</v>
      </c>
      <c r="Q38" s="71">
        <f t="shared" si="21"/>
        <v>85.263772629939652</v>
      </c>
      <c r="R38" s="71">
        <f t="shared" si="21"/>
        <v>283.84788863830778</v>
      </c>
    </row>
    <row r="39" spans="1:18">
      <c r="A39" s="65" t="s">
        <v>397</v>
      </c>
      <c r="B39" s="89">
        <v>1</v>
      </c>
      <c r="C39" s="71">
        <f>IFERROR(C11/$B39,0)</f>
        <v>0</v>
      </c>
      <c r="D39" s="71">
        <f>IFERROR(D11/$B39,0)</f>
        <v>0</v>
      </c>
      <c r="E39" s="71">
        <f>IFERROR(E11/$B39,0)</f>
        <v>0</v>
      </c>
      <c r="F39" s="71">
        <f>IFERROR(F11/$B39,0)</f>
        <v>139.28595278905811</v>
      </c>
      <c r="G39" s="70">
        <f t="shared" si="12"/>
        <v>139.28595278905811</v>
      </c>
      <c r="H39" s="70">
        <f t="shared" si="13"/>
        <v>139.28595278905811</v>
      </c>
      <c r="I39" s="71">
        <f t="shared" ref="I39:R39" si="22">IFERROR(I11/$B39,0)</f>
        <v>25.91469409517649</v>
      </c>
      <c r="J39" s="71">
        <f t="shared" si="22"/>
        <v>108.05366602257801</v>
      </c>
      <c r="K39" s="71">
        <f t="shared" si="22"/>
        <v>38.655181777951547</v>
      </c>
      <c r="L39" s="71">
        <f t="shared" si="22"/>
        <v>26.934660189301518</v>
      </c>
      <c r="M39" s="71">
        <f t="shared" si="22"/>
        <v>109.76040408909232</v>
      </c>
      <c r="N39" s="71">
        <f t="shared" si="22"/>
        <v>32.885746806778968</v>
      </c>
      <c r="O39" s="71">
        <f t="shared" si="22"/>
        <v>137.12010218265149</v>
      </c>
      <c r="P39" s="71">
        <f t="shared" si="22"/>
        <v>49.053425676220506</v>
      </c>
      <c r="Q39" s="71">
        <f t="shared" si="22"/>
        <v>34.180083780223626</v>
      </c>
      <c r="R39" s="71">
        <f t="shared" si="22"/>
        <v>139.28595278905811</v>
      </c>
    </row>
    <row r="40" spans="1:18">
      <c r="A40" s="65" t="s">
        <v>398</v>
      </c>
      <c r="B40" s="89">
        <v>1</v>
      </c>
      <c r="C40" s="71">
        <f>IFERROR(C4/$B40,0)</f>
        <v>0</v>
      </c>
      <c r="D40" s="71">
        <f>IFERROR(D4/$B40,0)</f>
        <v>0</v>
      </c>
      <c r="E40" s="71">
        <f>IFERROR(E4/$B40,0)</f>
        <v>0</v>
      </c>
      <c r="F40" s="71">
        <f>IFERROR(F4/$B40,0)</f>
        <v>16505.692202756221</v>
      </c>
      <c r="G40" s="70">
        <f t="shared" si="12"/>
        <v>16505.692202756221</v>
      </c>
      <c r="H40" s="70">
        <f t="shared" si="13"/>
        <v>16505.692202756221</v>
      </c>
      <c r="I40" s="71">
        <f t="shared" ref="I40:R40" si="23">IFERROR(I4/$B40,0)</f>
        <v>3046.6382725544299</v>
      </c>
      <c r="J40" s="71">
        <f t="shared" si="23"/>
        <v>13434.828493555995</v>
      </c>
      <c r="K40" s="71">
        <f t="shared" si="23"/>
        <v>4812.4758782887138</v>
      </c>
      <c r="L40" s="71">
        <f t="shared" si="23"/>
        <v>3256.9281196499378</v>
      </c>
      <c r="M40" s="71">
        <f t="shared" si="23"/>
        <v>13618.557923066192</v>
      </c>
      <c r="N40" s="71">
        <f t="shared" si="23"/>
        <v>3692.5255863359694</v>
      </c>
      <c r="O40" s="71">
        <f t="shared" si="23"/>
        <v>16283.012134189863</v>
      </c>
      <c r="P40" s="71">
        <f t="shared" si="23"/>
        <v>5832.7207644859218</v>
      </c>
      <c r="Q40" s="71">
        <f t="shared" si="23"/>
        <v>3947.3968810157248</v>
      </c>
      <c r="R40" s="71">
        <f t="shared" si="23"/>
        <v>16505.692202756221</v>
      </c>
    </row>
    <row r="41" spans="1:18">
      <c r="A41" s="65" t="s">
        <v>399</v>
      </c>
      <c r="B41" s="90">
        <v>0.99987999999999999</v>
      </c>
      <c r="C41" s="71">
        <f>IFERROR(C8/$B41,0)</f>
        <v>27.860513975990688</v>
      </c>
      <c r="D41" s="71">
        <f>IFERROR(D8/$B41,0)</f>
        <v>4.2450546525263271E-3</v>
      </c>
      <c r="E41" s="71">
        <f>IFERROR(E8/$B41,0)</f>
        <v>3.1035284363798459</v>
      </c>
      <c r="F41" s="71">
        <f>IFERROR(F8/$B41,0)</f>
        <v>22.849035360009438</v>
      </c>
      <c r="G41" s="70">
        <f t="shared" si="12"/>
        <v>2.4883513079410946</v>
      </c>
      <c r="H41" s="70">
        <f t="shared" si="13"/>
        <v>4.243619650564712E-3</v>
      </c>
      <c r="I41" s="71">
        <f t="shared" ref="I41:R41" si="24">IFERROR(I8/$B41,0)</f>
        <v>5.2534032392324219</v>
      </c>
      <c r="J41" s="71">
        <f t="shared" si="24"/>
        <v>24.317640151415489</v>
      </c>
      <c r="K41" s="71">
        <f t="shared" si="24"/>
        <v>8.7083441082771671</v>
      </c>
      <c r="L41" s="71">
        <f t="shared" si="24"/>
        <v>5.7366539823072147</v>
      </c>
      <c r="M41" s="71">
        <f t="shared" si="24"/>
        <v>18.836797493824761</v>
      </c>
      <c r="N41" s="71">
        <f t="shared" si="24"/>
        <v>6.3723781291889274</v>
      </c>
      <c r="O41" s="71">
        <f t="shared" si="24"/>
        <v>29.497297503666992</v>
      </c>
      <c r="P41" s="71">
        <f t="shared" si="24"/>
        <v>10.563221403340204</v>
      </c>
      <c r="Q41" s="71">
        <f t="shared" si="24"/>
        <v>6.9585612805386514</v>
      </c>
      <c r="R41" s="71">
        <f t="shared" si="24"/>
        <v>22.849035360009438</v>
      </c>
    </row>
    <row r="42" spans="1:18">
      <c r="A42" s="65" t="s">
        <v>400</v>
      </c>
      <c r="B42" s="89">
        <v>0.97898250799999997</v>
      </c>
      <c r="C42" s="71">
        <f>IFERROR(C19/$B42,0)</f>
        <v>0</v>
      </c>
      <c r="D42" s="71">
        <f>IFERROR(D19/$B42,0)</f>
        <v>0</v>
      </c>
      <c r="E42" s="71">
        <f>IFERROR(E19/$B42,0)</f>
        <v>0</v>
      </c>
      <c r="F42" s="71">
        <f>IFERROR(F19/$B42,0)</f>
        <v>107205.34804991688</v>
      </c>
      <c r="G42" s="70">
        <f t="shared" si="12"/>
        <v>107205.34804991687</v>
      </c>
      <c r="H42" s="70">
        <f t="shared" si="13"/>
        <v>107205.34804991687</v>
      </c>
      <c r="I42" s="71">
        <f t="shared" ref="I42:R42" si="25">IFERROR(I19/$B42,0)</f>
        <v>0</v>
      </c>
      <c r="J42" s="71">
        <f t="shared" si="25"/>
        <v>0</v>
      </c>
      <c r="K42" s="71">
        <f t="shared" si="25"/>
        <v>0</v>
      </c>
      <c r="L42" s="71">
        <f t="shared" si="25"/>
        <v>0</v>
      </c>
      <c r="M42" s="71">
        <f t="shared" si="25"/>
        <v>0</v>
      </c>
      <c r="N42" s="71">
        <f t="shared" si="25"/>
        <v>20647.349884495659</v>
      </c>
      <c r="O42" s="71">
        <f t="shared" si="25"/>
        <v>105977.54807971226</v>
      </c>
      <c r="P42" s="71">
        <f t="shared" si="25"/>
        <v>37018.432559528541</v>
      </c>
      <c r="Q42" s="71">
        <f t="shared" si="25"/>
        <v>23481.299868642127</v>
      </c>
      <c r="R42" s="71">
        <f t="shared" si="25"/>
        <v>107205.34804991688</v>
      </c>
    </row>
    <row r="43" spans="1:18">
      <c r="A43" s="65" t="s">
        <v>401</v>
      </c>
      <c r="B43" s="89">
        <v>2.0897492E-2</v>
      </c>
      <c r="C43" s="71">
        <f>IFERROR(C28/$B43,0)</f>
        <v>0</v>
      </c>
      <c r="D43" s="71">
        <f>IFERROR(D28/$B43,0)</f>
        <v>0</v>
      </c>
      <c r="E43" s="71">
        <f>IFERROR(E28/$B43,0)</f>
        <v>0</v>
      </c>
      <c r="F43" s="71">
        <f>IFERROR(F28/$B43,0)</f>
        <v>88.759339595469882</v>
      </c>
      <c r="G43" s="70">
        <f t="shared" si="12"/>
        <v>88.759339595469882</v>
      </c>
      <c r="H43" s="70">
        <f t="shared" si="13"/>
        <v>88.759339595469882</v>
      </c>
      <c r="I43" s="71">
        <f t="shared" ref="I43:R43" si="26">IFERROR(I28/$B43,0)</f>
        <v>14.026574712222963</v>
      </c>
      <c r="J43" s="71">
        <f t="shared" si="26"/>
        <v>76.700872831124002</v>
      </c>
      <c r="K43" s="71">
        <f t="shared" si="26"/>
        <v>26.696988885971336</v>
      </c>
      <c r="L43" s="71">
        <f t="shared" si="26"/>
        <v>16.691381652368957</v>
      </c>
      <c r="M43" s="71">
        <f t="shared" si="26"/>
        <v>76.450766232101543</v>
      </c>
      <c r="N43" s="71">
        <f t="shared" si="26"/>
        <v>16.284853240890865</v>
      </c>
      <c r="O43" s="71">
        <f t="shared" si="26"/>
        <v>89.049713356934959</v>
      </c>
      <c r="P43" s="71">
        <f t="shared" si="26"/>
        <v>30.995204096612724</v>
      </c>
      <c r="Q43" s="71">
        <f t="shared" si="26"/>
        <v>19.378694098400352</v>
      </c>
      <c r="R43" s="71">
        <f t="shared" si="26"/>
        <v>88.759339595469882</v>
      </c>
    </row>
    <row r="44" spans="1:18">
      <c r="A44" s="65" t="s">
        <v>402</v>
      </c>
      <c r="B44" s="89">
        <v>0.99987999999999999</v>
      </c>
      <c r="C44" s="71">
        <f>IFERROR(C15/$B44,0)</f>
        <v>97.290683725681788</v>
      </c>
      <c r="D44" s="71">
        <f>IFERROR(D15/$B44,0)</f>
        <v>2.159017767402359</v>
      </c>
      <c r="E44" s="71">
        <f>IFERROR(E15/$B44,0)</f>
        <v>1578.4421130585176</v>
      </c>
      <c r="F44" s="71">
        <f>IFERROR(F15/$B44,0)</f>
        <v>1305.2043883808949</v>
      </c>
      <c r="G44" s="70">
        <f t="shared" si="12"/>
        <v>85.629810496960957</v>
      </c>
      <c r="H44" s="70">
        <f t="shared" si="13"/>
        <v>2.108733799712232</v>
      </c>
      <c r="I44" s="71">
        <f t="shared" ref="I44:R44" si="27">IFERROR(I15/$B44,0)</f>
        <v>4640.3076439097631</v>
      </c>
      <c r="J44" s="71">
        <f t="shared" si="27"/>
        <v>11835.72139554199</v>
      </c>
      <c r="K44" s="71">
        <f t="shared" si="27"/>
        <v>5862.2068354095118</v>
      </c>
      <c r="L44" s="71">
        <f t="shared" si="27"/>
        <v>4710.4382380242678</v>
      </c>
      <c r="M44" s="71">
        <f t="shared" si="27"/>
        <v>936.74956103891941</v>
      </c>
      <c r="N44" s="71">
        <f t="shared" si="27"/>
        <v>6465.4953171809357</v>
      </c>
      <c r="O44" s="71">
        <f t="shared" si="27"/>
        <v>16491.10514445517</v>
      </c>
      <c r="P44" s="71">
        <f t="shared" si="27"/>
        <v>8168.0081906705864</v>
      </c>
      <c r="Q44" s="71">
        <f t="shared" si="27"/>
        <v>6563.2106116471468</v>
      </c>
      <c r="R44" s="71">
        <f t="shared" si="27"/>
        <v>1305.2043883808949</v>
      </c>
    </row>
    <row r="45" spans="1:18">
      <c r="A45" s="63" t="s">
        <v>15</v>
      </c>
      <c r="B45" s="82" t="s">
        <v>6</v>
      </c>
      <c r="C45" s="67">
        <f>IFERROR(1/SUM(1/C46),0)</f>
        <v>0.40556763245838878</v>
      </c>
      <c r="D45" s="67">
        <f t="shared" ref="D45:E45" si="28">IFERROR(1/SUM(1/D46),0)</f>
        <v>3.613461780140644E-3</v>
      </c>
      <c r="E45" s="67">
        <f t="shared" si="28"/>
        <v>2.6417755026461762</v>
      </c>
      <c r="F45" s="67">
        <f>IFERROR(1/SUM(1/F46,1/F47),0)</f>
        <v>6.8395554623263228</v>
      </c>
      <c r="G45" s="68">
        <f>IFERROR(1/SUM(1/G46,1/G47),0)</f>
        <v>0.33440100517932497</v>
      </c>
      <c r="H45" s="68">
        <f t="shared" ref="H45:R45" si="29">IFERROR(1/SUM(1/H46,1/H47),0)</f>
        <v>3.5796769371774012E-3</v>
      </c>
      <c r="I45" s="67">
        <f t="shared" si="29"/>
        <v>1.1528685105894731</v>
      </c>
      <c r="J45" s="67">
        <f t="shared" si="29"/>
        <v>5.7941661236588216</v>
      </c>
      <c r="K45" s="67">
        <f t="shared" si="29"/>
        <v>2.0256722927550257</v>
      </c>
      <c r="L45" s="67">
        <f t="shared" si="29"/>
        <v>1.2960430180569766</v>
      </c>
      <c r="M45" s="67">
        <f t="shared" si="29"/>
        <v>5.74575999539202</v>
      </c>
      <c r="N45" s="67">
        <f t="shared" si="29"/>
        <v>1.3719336022781174</v>
      </c>
      <c r="O45" s="67">
        <f t="shared" si="29"/>
        <v>6.895292145020842</v>
      </c>
      <c r="P45" s="67">
        <f t="shared" si="29"/>
        <v>2.4106000097702167</v>
      </c>
      <c r="Q45" s="67">
        <f t="shared" si="29"/>
        <v>1.5423161254761149</v>
      </c>
      <c r="R45" s="67">
        <f t="shared" si="29"/>
        <v>6.8395554623263228</v>
      </c>
    </row>
    <row r="46" spans="1:18">
      <c r="A46" s="65" t="s">
        <v>403</v>
      </c>
      <c r="B46" s="89">
        <v>1</v>
      </c>
      <c r="C46" s="71">
        <f>IFERROR(C10/$B46,0)</f>
        <v>0.40556763245838878</v>
      </c>
      <c r="D46" s="71">
        <f>IFERROR(D10/$B46,0)</f>
        <v>3.613461780140644E-3</v>
      </c>
      <c r="E46" s="71">
        <f>IFERROR(E10/$B46,0)</f>
        <v>2.6417755026461762</v>
      </c>
      <c r="F46" s="71">
        <f>IFERROR(F10/$B46,0)</f>
        <v>1197.0581885066017</v>
      </c>
      <c r="G46" s="70">
        <f>(IF(AND(C46&lt;&gt;0,E46&lt;&gt;0,F46&lt;&gt;0),1/((1/C46)+(1/E46)+(1/F46)),IF(AND(C46&lt;&gt;0,E46&lt;&gt;0,F46=0), 1/((1/C46)+(1/E46)),IF(AND(C46&lt;&gt;0,E46=0,F46&lt;&gt;0),1/((1/C46)+(1/F46)),IF(AND(C46=0,E46&lt;&gt;0,F46&lt;&gt;0),1/((1/E46)+(1/F46)),IF(AND(C46&lt;&gt;0,E46=0,F46=0),1/(1/C46),IF(AND(C46=0,E46&lt;&gt;0,F46=0),1/(1/E46),IF(AND(C46=0,E46=0,F46&lt;&gt;0),1/(1/F46),IF(AND(C46=0,E46=0,F46=0),0)))))))))</f>
        <v>0.35148783443699688</v>
      </c>
      <c r="H46" s="70">
        <f>(IF(AND(C46&lt;&gt;0,D46&lt;&gt;0,F46&lt;&gt;0),1/((1/C46)+(1/D46)+(1/F46)),IF(AND(C46&lt;&gt;0,D46&lt;&gt;0,F46=0), 1/((1/C46)+(1/D46)),IF(AND(C46&lt;&gt;0,D46=0,F46&lt;&gt;0),1/((1/C46)+(1/F46)),IF(AND(C46=0,D46&lt;&gt;0,F46&lt;&gt;0),1/((1/D46)+(1/F46)),IF(AND(C46&lt;&gt;0,D46=0,F46=0),1/(1/C46),IF(AND(C46=0,D46&lt;&gt;0,F46=0),1/(1/D46),IF(AND(C46=0,D46=0,F46&lt;&gt;0),1/(1/F46),IF(AND(C46=0,D46=0,F46=0),0)))))))))</f>
        <v>3.5815407287147481E-3</v>
      </c>
      <c r="I46" s="71">
        <f t="shared" ref="I46:R46" si="30">IFERROR(I10/$B46,0)</f>
        <v>4021.1173660601621</v>
      </c>
      <c r="J46" s="71">
        <f t="shared" si="30"/>
        <v>8696.8352335719756</v>
      </c>
      <c r="K46" s="71">
        <f t="shared" si="30"/>
        <v>4986.1855339146005</v>
      </c>
      <c r="L46" s="71">
        <f t="shared" si="30"/>
        <v>4091.5089173259853</v>
      </c>
      <c r="M46" s="71">
        <f t="shared" si="30"/>
        <v>954.59185686331853</v>
      </c>
      <c r="N46" s="71">
        <f t="shared" si="30"/>
        <v>5042.4811770394417</v>
      </c>
      <c r="O46" s="71">
        <f t="shared" si="30"/>
        <v>10905.831382899256</v>
      </c>
      <c r="P46" s="71">
        <f t="shared" si="30"/>
        <v>6252.6766595289082</v>
      </c>
      <c r="Q46" s="71">
        <f t="shared" si="30"/>
        <v>5130.7521823267844</v>
      </c>
      <c r="R46" s="71">
        <f t="shared" si="30"/>
        <v>1197.0581885066017</v>
      </c>
    </row>
    <row r="47" spans="1:18">
      <c r="A47" s="65" t="s">
        <v>404</v>
      </c>
      <c r="B47" s="89">
        <v>0.94399</v>
      </c>
      <c r="C47" s="71">
        <f>IFERROR(C6/$B47,0)</f>
        <v>0</v>
      </c>
      <c r="D47" s="71">
        <f>IFERROR(D6/$B47,0)</f>
        <v>0</v>
      </c>
      <c r="E47" s="71">
        <f>IFERROR(E6/$B47,0)</f>
        <v>0</v>
      </c>
      <c r="F47" s="71">
        <f>IFERROR(F6/$B47,0)</f>
        <v>6.8788587614206973</v>
      </c>
      <c r="G47" s="70">
        <f>(IF(AND(C47&lt;&gt;0,E47&lt;&gt;0,F47&lt;&gt;0),1/((1/C47)+(1/E47)+(1/F47)),IF(AND(C47&lt;&gt;0,E47&lt;&gt;0,F47=0), 1/((1/C47)+(1/E47)),IF(AND(C47&lt;&gt;0,E47=0,F47&lt;&gt;0),1/((1/C47)+(1/F47)),IF(AND(C47=0,E47&lt;&gt;0,F47&lt;&gt;0),1/((1/E47)+(1/F47)),IF(AND(C47&lt;&gt;0,E47=0,F47=0),1/(1/C47),IF(AND(C47=0,E47&lt;&gt;0,F47=0),1/(1/E47),IF(AND(C47=0,E47=0,F47&lt;&gt;0),1/(1/F47),IF(AND(C47=0,E47=0,F47=0),0)))))))))</f>
        <v>6.8788587614206973</v>
      </c>
      <c r="H47" s="70">
        <f>(IF(AND(C47&lt;&gt;0,D47&lt;&gt;0,F47&lt;&gt;0),1/((1/C47)+(1/D47)+(1/F47)),IF(AND(C47&lt;&gt;0,D47&lt;&gt;0,F47=0), 1/((1/C47)+(1/D47)),IF(AND(C47&lt;&gt;0,D47=0,F47&lt;&gt;0),1/((1/C47)+(1/F47)),IF(AND(C47=0,D47&lt;&gt;0,F47&lt;&gt;0),1/((1/D47)+(1/F47)),IF(AND(C47&lt;&gt;0,D47=0,F47=0),1/(1/C47),IF(AND(C47=0,D47&lt;&gt;0,F47=0),1/(1/D47),IF(AND(C47=0,D47=0,F47&lt;&gt;0),1/(1/F47),IF(AND(C47=0,D47=0,F47=0),0)))))))))</f>
        <v>6.8788587614206973</v>
      </c>
      <c r="I47" s="71">
        <f t="shared" ref="I47:R47" si="31">IFERROR(I6/$B47,0)</f>
        <v>1.1531991368433914</v>
      </c>
      <c r="J47" s="71">
        <f t="shared" si="31"/>
        <v>5.7980289935737161</v>
      </c>
      <c r="K47" s="71">
        <f t="shared" si="31"/>
        <v>2.0264955705694536</v>
      </c>
      <c r="L47" s="71">
        <f t="shared" si="31"/>
        <v>1.2964536880040607</v>
      </c>
      <c r="M47" s="71">
        <f t="shared" si="31"/>
        <v>5.7805535810257958</v>
      </c>
      <c r="N47" s="71">
        <f t="shared" si="31"/>
        <v>1.3723069728436352</v>
      </c>
      <c r="O47" s="71">
        <f t="shared" si="31"/>
        <v>6.899654502352722</v>
      </c>
      <c r="P47" s="71">
        <f t="shared" si="31"/>
        <v>2.4115297289776505</v>
      </c>
      <c r="Q47" s="71">
        <f t="shared" si="31"/>
        <v>1.5427798887248323</v>
      </c>
      <c r="R47" s="71">
        <f t="shared" si="31"/>
        <v>6.8788587614206973</v>
      </c>
    </row>
    <row r="48" spans="1:18">
      <c r="A48" s="63" t="s">
        <v>28</v>
      </c>
      <c r="B48" s="82" t="s">
        <v>6</v>
      </c>
      <c r="C48" s="67">
        <f>IFERROR(1/SUM(1/C49,1/C52,1/C54,1/C58,1/C59,1/C61),0)</f>
        <v>2.5214016302107832E-3</v>
      </c>
      <c r="D48" s="67">
        <f>IFERROR(1/SUM(1/D49,1/D50,1/D51,1/D52,1/D54,1/D58,1/D59,1/D61),0)</f>
        <v>7.1135456871816555E-6</v>
      </c>
      <c r="E48" s="67">
        <f>IFERROR(1/SUM(1/E49,1/E50,1/E51,1/E52,1/E54,1/E58,1/E59,1/E61),0)</f>
        <v>5.2006612707605334E-3</v>
      </c>
      <c r="F48" s="67">
        <f>IFERROR(1/SUM(1/F49,1/F50,1/F51,1/F52,1/F53,1/F54,1/F55,1/F56,1/F57,1/F58,1/F59,1/F60,1/F61,1/F62),0)</f>
        <v>2.1937806982465333</v>
      </c>
      <c r="G48" s="68">
        <f t="shared" ref="G48:H48" si="32">IFERROR(1/SUM(1/G49,1/G50,1/G51,1/G52,1/G53,1/G54,1/G55,1/G56,1/G57,1/G58,1/G59,1/G60,1/G61,1/G62),0)</f>
        <v>1.6968022177395079E-3</v>
      </c>
      <c r="H48" s="68">
        <f t="shared" si="32"/>
        <v>7.0935100043939248E-6</v>
      </c>
      <c r="I48" s="67">
        <f>IFERROR(1/SUM(1/I49,1/I50,1/I51,1/I52,1/I53,1/I54,1/I55,1/I56,1/I58,1/I59,1/I61,1/I62),0)</f>
        <v>0.3598063830440093</v>
      </c>
      <c r="J48" s="67">
        <f t="shared" ref="J48:M48" si="33">IFERROR(1/SUM(1/J49,1/J50,1/J51,1/J52,1/J53,1/J54,1/J55,1/J56,1/J58,1/J59,1/J61,1/J62),0)</f>
        <v>1.9485643480987922</v>
      </c>
      <c r="K48" s="67">
        <f t="shared" si="33"/>
        <v>0.67782984156498072</v>
      </c>
      <c r="L48" s="67">
        <f t="shared" si="33"/>
        <v>0.42435097719199255</v>
      </c>
      <c r="M48" s="67">
        <f t="shared" si="33"/>
        <v>1.8736280443828246</v>
      </c>
      <c r="N48" s="67">
        <f t="shared" ref="N48:R48" si="34">IFERROR(1/SUM(1/N49,1/N50,1/N51,1/N52,1/N53,1/N54,1/N55,1/N56,1/N57,1/N58,1/N59,1/N60,1/N61,1/N62),0)</f>
        <v>0.41966320363675375</v>
      </c>
      <c r="O48" s="67">
        <f t="shared" si="34"/>
        <v>2.2781451412589075</v>
      </c>
      <c r="P48" s="67">
        <f t="shared" si="34"/>
        <v>0.79215542506657932</v>
      </c>
      <c r="Q48" s="67">
        <f t="shared" si="34"/>
        <v>0.49547391809255475</v>
      </c>
      <c r="R48" s="67">
        <f t="shared" si="34"/>
        <v>2.1937806982465333</v>
      </c>
    </row>
    <row r="49" spans="1:18">
      <c r="A49" s="65" t="s">
        <v>405</v>
      </c>
      <c r="B49" s="89">
        <v>1</v>
      </c>
      <c r="C49" s="71">
        <f>IFERROR(C23/$B49,0)</f>
        <v>1.9698999290836024E-2</v>
      </c>
      <c r="D49" s="71">
        <f>IFERROR(D23/$B49,0)</f>
        <v>1.4629257886588818E-5</v>
      </c>
      <c r="E49" s="71">
        <f>IFERROR(E23/$B49,0)</f>
        <v>1.0695343539839374E-2</v>
      </c>
      <c r="F49" s="71">
        <f>IFERROR(F23/$B49,0)</f>
        <v>560.89702545294369</v>
      </c>
      <c r="G49" s="70">
        <f t="shared" ref="G49:G62" si="35">(IF(AND(C49&lt;&gt;0,E49&lt;&gt;0,F49&lt;&gt;0),1/((1/C49)+(1/E49)+(1/F49)),IF(AND(C49&lt;&gt;0,E49&lt;&gt;0,F49=0), 1/((1/C49)+(1/E49)),IF(AND(C49&lt;&gt;0,E49=0,F49&lt;&gt;0),1/((1/C49)+(1/F49)),IF(AND(C49=0,E49&lt;&gt;0,F49&lt;&gt;0),1/((1/E49)+(1/F49)),IF(AND(C49&lt;&gt;0,E49=0,F49=0),1/(1/C49),IF(AND(C49=0,E49&lt;&gt;0,F49=0),1/(1/E49),IF(AND(C49=0,E49=0,F49&lt;&gt;0),1/(1/F49),IF(AND(C49=0,E49=0,F49=0),0)))))))))</f>
        <v>6.931716281765584E-3</v>
      </c>
      <c r="H49" s="70">
        <f t="shared" ref="H49:H62" si="36">(IF(AND(C49&lt;&gt;0,D49&lt;&gt;0,F49&lt;&gt;0),1/((1/C49)+(1/D49)+(1/F49)),IF(AND(C49&lt;&gt;0,D49&lt;&gt;0,F49=0), 1/((1/C49)+(1/D49)),IF(AND(C49&lt;&gt;0,D49=0,F49&lt;&gt;0),1/((1/C49)+(1/F49)),IF(AND(C49=0,D49&lt;&gt;0,F49&lt;&gt;0),1/((1/D49)+(1/F49)),IF(AND(C49&lt;&gt;0,D49=0,F49=0),1/(1/C49),IF(AND(C49=0,D49&lt;&gt;0,F49=0),1/(1/D49),IF(AND(C49=0,D49=0,F49&lt;&gt;0),1/(1/F49),IF(AND(C49=0,D49=0,F49=0),0)))))))))</f>
        <v>1.4618401300926185E-5</v>
      </c>
      <c r="I49" s="71">
        <f t="shared" ref="I49:R49" si="37">IFERROR(I23/$B49,0)</f>
        <v>106.75440481348299</v>
      </c>
      <c r="J49" s="71">
        <f t="shared" si="37"/>
        <v>428.02473628047426</v>
      </c>
      <c r="K49" s="71">
        <f t="shared" si="37"/>
        <v>155.11323776318042</v>
      </c>
      <c r="L49" s="71">
        <f t="shared" si="37"/>
        <v>109.32680011019342</v>
      </c>
      <c r="M49" s="71">
        <f t="shared" si="37"/>
        <v>434.13082465398105</v>
      </c>
      <c r="N49" s="71">
        <f t="shared" si="37"/>
        <v>137.92669101902004</v>
      </c>
      <c r="O49" s="71">
        <f t="shared" si="37"/>
        <v>553.00795927437275</v>
      </c>
      <c r="P49" s="71">
        <f t="shared" si="37"/>
        <v>200.40630319002912</v>
      </c>
      <c r="Q49" s="71">
        <f t="shared" si="37"/>
        <v>141.25022574236991</v>
      </c>
      <c r="R49" s="71">
        <f t="shared" si="37"/>
        <v>560.89702545294369</v>
      </c>
    </row>
    <row r="50" spans="1:18">
      <c r="A50" s="65" t="s">
        <v>406</v>
      </c>
      <c r="B50" s="89">
        <v>1</v>
      </c>
      <c r="C50" s="71">
        <f>IFERROR(C25/$B50,0)</f>
        <v>0</v>
      </c>
      <c r="D50" s="71">
        <f>IFERROR(D25/$B50,0)</f>
        <v>8.5117712680595412E-2</v>
      </c>
      <c r="E50" s="71">
        <f>IFERROR(E25/$B50,0)</f>
        <v>62.228937756225733</v>
      </c>
      <c r="F50" s="71">
        <f>IFERROR(F25/$B50,0)</f>
        <v>10072.021854907698</v>
      </c>
      <c r="G50" s="70">
        <f t="shared" si="35"/>
        <v>61.846823599639883</v>
      </c>
      <c r="H50" s="70">
        <f t="shared" si="36"/>
        <v>8.5116993364862198E-2</v>
      </c>
      <c r="I50" s="71">
        <f t="shared" ref="I50:R50" si="38">IFERROR(I25/$B50,0)</f>
        <v>1712.5741321729995</v>
      </c>
      <c r="J50" s="71">
        <f t="shared" si="38"/>
        <v>8272.6038588017782</v>
      </c>
      <c r="K50" s="71">
        <f t="shared" si="38"/>
        <v>2900.9428093272204</v>
      </c>
      <c r="L50" s="71">
        <f t="shared" si="38"/>
        <v>1877.2447218050183</v>
      </c>
      <c r="M50" s="71">
        <f t="shared" si="38"/>
        <v>8386.3629099980826</v>
      </c>
      <c r="N50" s="71">
        <f t="shared" si="38"/>
        <v>2056.801532739772</v>
      </c>
      <c r="O50" s="71">
        <f t="shared" si="38"/>
        <v>9935.3972344209342</v>
      </c>
      <c r="P50" s="71">
        <f t="shared" si="38"/>
        <v>3484.0323140019918</v>
      </c>
      <c r="Q50" s="71">
        <f t="shared" si="38"/>
        <v>2254.5709108878273</v>
      </c>
      <c r="R50" s="71">
        <f t="shared" si="38"/>
        <v>10072.021854907698</v>
      </c>
    </row>
    <row r="51" spans="1:18">
      <c r="A51" s="65" t="s">
        <v>407</v>
      </c>
      <c r="B51" s="89">
        <v>1</v>
      </c>
      <c r="C51" s="71">
        <f>IFERROR(C21/$B51,0)</f>
        <v>0</v>
      </c>
      <c r="D51" s="71">
        <f>IFERROR(D21/$B51,0)</f>
        <v>7.3165487934107598E-2</v>
      </c>
      <c r="E51" s="71">
        <f>IFERROR(E21/$B51,0)</f>
        <v>53.490753583107427</v>
      </c>
      <c r="F51" s="71">
        <f>IFERROR(F21/$B51,0)</f>
        <v>626030431.08198202</v>
      </c>
      <c r="G51" s="70">
        <f t="shared" si="35"/>
        <v>53.490749012625976</v>
      </c>
      <c r="H51" s="70">
        <f t="shared" si="36"/>
        <v>7.3165487925556605E-2</v>
      </c>
      <c r="I51" s="71">
        <f t="shared" ref="I51:R51" si="39">IFERROR(I21/$B51,0)</f>
        <v>403268060.79467475</v>
      </c>
      <c r="J51" s="71">
        <f t="shared" si="39"/>
        <v>858682853.58866084</v>
      </c>
      <c r="K51" s="71">
        <f t="shared" si="39"/>
        <v>459019405.60499835</v>
      </c>
      <c r="L51" s="71">
        <f t="shared" si="39"/>
        <v>403268060.79467475</v>
      </c>
      <c r="M51" s="71">
        <f t="shared" si="39"/>
        <v>478697865.73813415</v>
      </c>
      <c r="N51" s="71">
        <f t="shared" si="39"/>
        <v>527385008.39481348</v>
      </c>
      <c r="O51" s="71">
        <f t="shared" si="39"/>
        <v>1122966354.0820596</v>
      </c>
      <c r="P51" s="71">
        <f t="shared" si="39"/>
        <v>600295378.21898127</v>
      </c>
      <c r="Q51" s="71">
        <f t="shared" si="39"/>
        <v>527385008.39481348</v>
      </c>
      <c r="R51" s="71">
        <f t="shared" si="39"/>
        <v>626030431.08198202</v>
      </c>
    </row>
    <row r="52" spans="1:18">
      <c r="A52" s="65" t="s">
        <v>408</v>
      </c>
      <c r="B52" s="89">
        <v>0.99980000000000002</v>
      </c>
      <c r="C52" s="71">
        <f>IFERROR(C17/$B52,0)</f>
        <v>39.689375295448208</v>
      </c>
      <c r="D52" s="71">
        <f>IFERROR(D17/$B52,0)</f>
        <v>1.1966363617313586E-2</v>
      </c>
      <c r="E52" s="71">
        <f>IFERROR(E17/$B52,0)</f>
        <v>8.7485209982614212</v>
      </c>
      <c r="F52" s="71">
        <f>IFERROR(F17/$B52,0)</f>
        <v>15.421982050836764</v>
      </c>
      <c r="G52" s="70">
        <f t="shared" si="35"/>
        <v>4.8937277269230028</v>
      </c>
      <c r="H52" s="70">
        <f t="shared" si="36"/>
        <v>1.1953484580872776E-2</v>
      </c>
      <c r="I52" s="71">
        <f t="shared" ref="I52:R52" si="40">IFERROR(I17/$B52,0)</f>
        <v>2.7922510094983677</v>
      </c>
      <c r="J52" s="71">
        <f t="shared" si="40"/>
        <v>12.527899529282676</v>
      </c>
      <c r="K52" s="71">
        <f t="shared" si="40"/>
        <v>4.4425175635754162</v>
      </c>
      <c r="L52" s="71">
        <f t="shared" si="40"/>
        <v>2.98757540443943</v>
      </c>
      <c r="M52" s="71">
        <f t="shared" si="40"/>
        <v>12.357357412529458</v>
      </c>
      <c r="N52" s="71">
        <f t="shared" si="40"/>
        <v>3.4847292598539625</v>
      </c>
      <c r="O52" s="71">
        <f t="shared" si="40"/>
        <v>15.63481861254478</v>
      </c>
      <c r="P52" s="71">
        <f t="shared" si="40"/>
        <v>5.5442619193421212</v>
      </c>
      <c r="Q52" s="71">
        <f t="shared" si="40"/>
        <v>3.7284941047404083</v>
      </c>
      <c r="R52" s="71">
        <f t="shared" si="40"/>
        <v>15.421982050836764</v>
      </c>
    </row>
    <row r="53" spans="1:18">
      <c r="A53" s="65" t="s">
        <v>409</v>
      </c>
      <c r="B53" s="89">
        <v>2.0000000000000001E-4</v>
      </c>
      <c r="C53" s="71">
        <f>IFERROR(C5/$B53,0)</f>
        <v>0</v>
      </c>
      <c r="D53" s="71">
        <f>IFERROR(D5/$B53,0)</f>
        <v>0</v>
      </c>
      <c r="E53" s="71">
        <f>IFERROR(E5/$B53,0)</f>
        <v>0</v>
      </c>
      <c r="F53" s="71">
        <f>IFERROR(F5/$B53,0)</f>
        <v>166524094.66780722</v>
      </c>
      <c r="G53" s="70">
        <f t="shared" si="35"/>
        <v>166524094.66780722</v>
      </c>
      <c r="H53" s="70">
        <f t="shared" si="36"/>
        <v>166524094.66780722</v>
      </c>
      <c r="I53" s="71">
        <f t="shared" ref="I53:R53" si="41">IFERROR(I5/$B53,0)</f>
        <v>263153885.13426638</v>
      </c>
      <c r="J53" s="71">
        <f t="shared" si="41"/>
        <v>464022827.04148746</v>
      </c>
      <c r="K53" s="71">
        <f t="shared" si="41"/>
        <v>330885475.82283282</v>
      </c>
      <c r="L53" s="71">
        <f t="shared" si="41"/>
        <v>274195306.88815176</v>
      </c>
      <c r="M53" s="71">
        <f t="shared" si="41"/>
        <v>100248618.8635629</v>
      </c>
      <c r="N53" s="71">
        <f t="shared" si="41"/>
        <v>437127842.52858692</v>
      </c>
      <c r="O53" s="71">
        <f t="shared" si="41"/>
        <v>770793473.80780411</v>
      </c>
      <c r="P53" s="71">
        <f t="shared" si="41"/>
        <v>549637540.39459455</v>
      </c>
      <c r="Q53" s="71">
        <f t="shared" si="41"/>
        <v>455468870.88642985</v>
      </c>
      <c r="R53" s="71">
        <f t="shared" si="41"/>
        <v>166524094.66780722</v>
      </c>
    </row>
    <row r="54" spans="1:18">
      <c r="A54" s="65" t="s">
        <v>410</v>
      </c>
      <c r="B54" s="89">
        <v>0.99999979999999999</v>
      </c>
      <c r="C54" s="71">
        <f>IFERROR(C9/$B54,0)</f>
        <v>49.247508076591679</v>
      </c>
      <c r="D54" s="71">
        <f>IFERROR(D9/$B54,0)</f>
        <v>1.5232817747599067E-2</v>
      </c>
      <c r="E54" s="71">
        <f>IFERROR(E9/$B54,0)</f>
        <v>11.13660174380337</v>
      </c>
      <c r="F54" s="71">
        <f>IFERROR(F9/$B54,0)</f>
        <v>2.6385865347776334</v>
      </c>
      <c r="G54" s="70">
        <f t="shared" si="35"/>
        <v>2.0446118513562426</v>
      </c>
      <c r="H54" s="70">
        <f t="shared" si="36"/>
        <v>1.5140725660042282E-2</v>
      </c>
      <c r="I54" s="71">
        <f t="shared" ref="I54:R54" si="42">IFERROR(I9/$B54,0)</f>
        <v>0.41515137638863364</v>
      </c>
      <c r="J54" s="71">
        <f t="shared" si="42"/>
        <v>2.3280851267665352</v>
      </c>
      <c r="K54" s="71">
        <f t="shared" si="42"/>
        <v>0.80559136132556297</v>
      </c>
      <c r="L54" s="71">
        <f t="shared" si="42"/>
        <v>0.49757113493637722</v>
      </c>
      <c r="M54" s="71">
        <f t="shared" si="42"/>
        <v>2.2844905063009806</v>
      </c>
      <c r="N54" s="71">
        <f t="shared" si="42"/>
        <v>0.47949983972887206</v>
      </c>
      <c r="O54" s="71">
        <f t="shared" si="42"/>
        <v>2.6889383214153484</v>
      </c>
      <c r="P54" s="71">
        <f t="shared" si="42"/>
        <v>0.93045802233102515</v>
      </c>
      <c r="Q54" s="71">
        <f t="shared" si="42"/>
        <v>0.57469466085151577</v>
      </c>
      <c r="R54" s="71">
        <f t="shared" si="42"/>
        <v>2.6385865347776334</v>
      </c>
    </row>
    <row r="55" spans="1:18">
      <c r="A55" s="65" t="s">
        <v>411</v>
      </c>
      <c r="B55" s="89">
        <v>1.9999999999999999E-7</v>
      </c>
      <c r="C55" s="71">
        <f>IFERROR(C24/$B55,0)</f>
        <v>0</v>
      </c>
      <c r="D55" s="71">
        <f>IFERROR(D24/$B55,0)</f>
        <v>0</v>
      </c>
      <c r="E55" s="71">
        <f>IFERROR(E24/$B55,0)</f>
        <v>0</v>
      </c>
      <c r="F55" s="71">
        <f>IFERROR(F24/$B55,0)</f>
        <v>25875636257.083309</v>
      </c>
      <c r="G55" s="70">
        <f t="shared" si="35"/>
        <v>25875636257.083309</v>
      </c>
      <c r="H55" s="70">
        <f t="shared" si="36"/>
        <v>25875636257.083309</v>
      </c>
      <c r="I55" s="71">
        <f t="shared" ref="I55:R55" si="43">IFERROR(I24/$B55,0)</f>
        <v>4310145709.8486423</v>
      </c>
      <c r="J55" s="71">
        <f t="shared" si="43"/>
        <v>21409874114.280842</v>
      </c>
      <c r="K55" s="71">
        <f t="shared" si="43"/>
        <v>7501627647.675499</v>
      </c>
      <c r="L55" s="71">
        <f t="shared" si="43"/>
        <v>4817221675.7131882</v>
      </c>
      <c r="M55" s="71">
        <f t="shared" si="43"/>
        <v>21689552604.428589</v>
      </c>
      <c r="N55" s="71">
        <f t="shared" si="43"/>
        <v>5142003831.8494301</v>
      </c>
      <c r="O55" s="71">
        <f t="shared" si="43"/>
        <v>25541979818.337048</v>
      </c>
      <c r="P55" s="71">
        <f t="shared" si="43"/>
        <v>8949441783.6768742</v>
      </c>
      <c r="Q55" s="71">
        <f t="shared" si="43"/>
        <v>5746945459.1258345</v>
      </c>
      <c r="R55" s="71">
        <f t="shared" si="43"/>
        <v>25875636257.083309</v>
      </c>
    </row>
    <row r="56" spans="1:18">
      <c r="A56" s="65" t="s">
        <v>412</v>
      </c>
      <c r="B56" s="89">
        <v>0.99979000004200003</v>
      </c>
      <c r="C56" s="71">
        <f>IFERROR(C20/$B56,0)</f>
        <v>0</v>
      </c>
      <c r="D56" s="71">
        <f>IFERROR(D20/$B56,0)</f>
        <v>0</v>
      </c>
      <c r="E56" s="71">
        <f>IFERROR(E20/$B56,0)</f>
        <v>0</v>
      </c>
      <c r="F56" s="71">
        <f>IFERROR(F20/$B56,0)</f>
        <v>47618.540298396147</v>
      </c>
      <c r="G56" s="70">
        <f t="shared" si="35"/>
        <v>47618.540298396147</v>
      </c>
      <c r="H56" s="70">
        <f t="shared" si="36"/>
        <v>47618.540298396147</v>
      </c>
      <c r="I56" s="71">
        <f t="shared" ref="I56:R56" si="44">IFERROR(I20/$B56,0)</f>
        <v>7740.0099963931616</v>
      </c>
      <c r="J56" s="71">
        <f t="shared" si="44"/>
        <v>39783.651381460841</v>
      </c>
      <c r="K56" s="71">
        <f t="shared" si="44"/>
        <v>13910.367615895402</v>
      </c>
      <c r="L56" s="71">
        <f t="shared" si="44"/>
        <v>8801.6927835090355</v>
      </c>
      <c r="M56" s="71">
        <f t="shared" si="44"/>
        <v>40388.92306903829</v>
      </c>
      <c r="N56" s="71">
        <f t="shared" si="44"/>
        <v>9125.4717857475371</v>
      </c>
      <c r="O56" s="71">
        <f t="shared" si="44"/>
        <v>46904.92497874234</v>
      </c>
      <c r="P56" s="71">
        <f t="shared" si="44"/>
        <v>16400.323419140677</v>
      </c>
      <c r="Q56" s="71">
        <f t="shared" si="44"/>
        <v>10377.195791757154</v>
      </c>
      <c r="R56" s="71">
        <f t="shared" si="44"/>
        <v>47618.540298396147</v>
      </c>
    </row>
    <row r="57" spans="1:18">
      <c r="A57" s="65" t="s">
        <v>413</v>
      </c>
      <c r="B57" s="89">
        <v>2.0999995799999999E-4</v>
      </c>
      <c r="C57" s="71">
        <f>IFERROR(C29/$B57,0)</f>
        <v>0</v>
      </c>
      <c r="D57" s="71">
        <f>IFERROR(D29/$B57,0)</f>
        <v>0</v>
      </c>
      <c r="E57" s="71">
        <f>IFERROR(E29/$B57,0)</f>
        <v>0</v>
      </c>
      <c r="F57" s="71">
        <f>IFERROR(F29/$B57,0)</f>
        <v>6758.2844144737364</v>
      </c>
      <c r="G57" s="70">
        <f t="shared" si="35"/>
        <v>6758.2844144737364</v>
      </c>
      <c r="H57" s="70">
        <f t="shared" si="36"/>
        <v>6758.2844144737364</v>
      </c>
      <c r="I57" s="71">
        <f t="shared" ref="I57:R57" si="45">IFERROR(I29/$B57,0)</f>
        <v>0</v>
      </c>
      <c r="J57" s="71">
        <f t="shared" si="45"/>
        <v>0</v>
      </c>
      <c r="K57" s="71">
        <f t="shared" si="45"/>
        <v>0</v>
      </c>
      <c r="L57" s="71">
        <f t="shared" si="45"/>
        <v>0</v>
      </c>
      <c r="M57" s="71">
        <f t="shared" si="45"/>
        <v>0</v>
      </c>
      <c r="N57" s="71">
        <f t="shared" si="45"/>
        <v>1243.3737492174057</v>
      </c>
      <c r="O57" s="71">
        <f t="shared" si="45"/>
        <v>6808.229431690429</v>
      </c>
      <c r="P57" s="71">
        <f t="shared" si="45"/>
        <v>2370.5936874675804</v>
      </c>
      <c r="Q57" s="71">
        <f t="shared" si="45"/>
        <v>1474.9664818985873</v>
      </c>
      <c r="R57" s="71">
        <f t="shared" si="45"/>
        <v>6758.2844144737364</v>
      </c>
    </row>
    <row r="58" spans="1:18">
      <c r="A58" s="65" t="s">
        <v>414</v>
      </c>
      <c r="B58" s="89">
        <v>1</v>
      </c>
      <c r="C58" s="71">
        <f>IFERROR(C16/$B58,0)</f>
        <v>7.9248847721754122E-3</v>
      </c>
      <c r="D58" s="71">
        <f>IFERROR(D16/$B58,0)</f>
        <v>2.4988616290524844E-5</v>
      </c>
      <c r="E58" s="71">
        <f>IFERROR(E16/$B58,0)</f>
        <v>1.8268994769543207E-2</v>
      </c>
      <c r="F58" s="71">
        <f>IFERROR(F16/$B58,0)</f>
        <v>1726.6323179841763</v>
      </c>
      <c r="G58" s="70">
        <f t="shared" si="35"/>
        <v>5.5272154229584411E-3</v>
      </c>
      <c r="H58" s="70">
        <f t="shared" si="36"/>
        <v>2.4910069907381045E-5</v>
      </c>
      <c r="I58" s="71">
        <f t="shared" ref="I58:R58" si="46">IFERROR(I16/$B58,0)</f>
        <v>1396.6178329144075</v>
      </c>
      <c r="J58" s="71">
        <f t="shared" si="46"/>
        <v>2196.9269281799666</v>
      </c>
      <c r="K58" s="71">
        <f t="shared" si="46"/>
        <v>1422.0108844219424</v>
      </c>
      <c r="L58" s="71">
        <f t="shared" si="46"/>
        <v>1396.6178329144075</v>
      </c>
      <c r="M58" s="71">
        <f t="shared" si="46"/>
        <v>1151.8561160668287</v>
      </c>
      <c r="N58" s="71">
        <f t="shared" si="46"/>
        <v>2093.5301315386964</v>
      </c>
      <c r="O58" s="71">
        <f t="shared" si="46"/>
        <v>3293.1934653417702</v>
      </c>
      <c r="P58" s="71">
        <f t="shared" si="46"/>
        <v>2131.5943157484917</v>
      </c>
      <c r="Q58" s="71">
        <f t="shared" si="46"/>
        <v>2093.5301315386964</v>
      </c>
      <c r="R58" s="71">
        <f t="shared" si="46"/>
        <v>1726.6323179841763</v>
      </c>
    </row>
    <row r="59" spans="1:18">
      <c r="A59" s="65" t="s">
        <v>415</v>
      </c>
      <c r="B59" s="89">
        <v>1</v>
      </c>
      <c r="C59" s="71">
        <f>IFERROR(C7/$B59,0)</f>
        <v>4.2104731308657151</v>
      </c>
      <c r="D59" s="71">
        <f>IFERROR(D7/$B59,0)</f>
        <v>1.0320640837798961E-3</v>
      </c>
      <c r="E59" s="71">
        <f>IFERROR(E7/$B59,0)</f>
        <v>0.75453451000236682</v>
      </c>
      <c r="F59" s="71">
        <f>IFERROR(F7/$B59,0)</f>
        <v>106.74621453064566</v>
      </c>
      <c r="G59" s="70">
        <f t="shared" si="35"/>
        <v>0.63605485518860572</v>
      </c>
      <c r="H59" s="70">
        <f t="shared" si="36"/>
        <v>1.0318011945517069E-3</v>
      </c>
      <c r="I59" s="71">
        <f t="shared" ref="I59:R59" si="47">IFERROR(I7/$B59,0)</f>
        <v>638.16367754879707</v>
      </c>
      <c r="J59" s="71">
        <f t="shared" si="47"/>
        <v>1112.9878423916516</v>
      </c>
      <c r="K59" s="71">
        <f t="shared" si="47"/>
        <v>769.47307622138885</v>
      </c>
      <c r="L59" s="71">
        <f t="shared" si="47"/>
        <v>651.50507847316203</v>
      </c>
      <c r="M59" s="71">
        <f t="shared" si="47"/>
        <v>85.124572990945495</v>
      </c>
      <c r="N59" s="71">
        <f t="shared" si="47"/>
        <v>800.25725164619132</v>
      </c>
      <c r="O59" s="71">
        <f t="shared" si="47"/>
        <v>1395.6867543591311</v>
      </c>
      <c r="P59" s="71">
        <f t="shared" si="47"/>
        <v>964.91923758162159</v>
      </c>
      <c r="Q59" s="71">
        <f t="shared" si="47"/>
        <v>816.98736840534502</v>
      </c>
      <c r="R59" s="71">
        <f t="shared" si="47"/>
        <v>106.74621453064566</v>
      </c>
    </row>
    <row r="60" spans="1:18">
      <c r="A60" s="65" t="s">
        <v>416</v>
      </c>
      <c r="B60" s="91">
        <v>1.9000000000000001E-8</v>
      </c>
      <c r="C60" s="71">
        <f>IFERROR(C12/$B60,0)</f>
        <v>0</v>
      </c>
      <c r="D60" s="71">
        <f>IFERROR(D12/$B60,0)</f>
        <v>0</v>
      </c>
      <c r="E60" s="71">
        <f>IFERROR(E12/$B60,0)</f>
        <v>0</v>
      </c>
      <c r="F60" s="71">
        <f>IFERROR(F12/$B60,0)</f>
        <v>1323487152.9585526</v>
      </c>
      <c r="G60" s="70">
        <f t="shared" si="35"/>
        <v>1323487152.9585526</v>
      </c>
      <c r="H60" s="70">
        <f t="shared" si="36"/>
        <v>1323487152.9585526</v>
      </c>
      <c r="I60" s="71">
        <f t="shared" ref="I60:R60" si="48">IFERROR(I12/$B60,0)</f>
        <v>0</v>
      </c>
      <c r="J60" s="71">
        <f t="shared" si="48"/>
        <v>0</v>
      </c>
      <c r="K60" s="71">
        <f t="shared" si="48"/>
        <v>0</v>
      </c>
      <c r="L60" s="71">
        <f t="shared" si="48"/>
        <v>0</v>
      </c>
      <c r="M60" s="71">
        <f t="shared" si="48"/>
        <v>0</v>
      </c>
      <c r="N60" s="71">
        <f t="shared" si="48"/>
        <v>376244182.81825101</v>
      </c>
      <c r="O60" s="71">
        <f t="shared" si="48"/>
        <v>1663181832.4041286</v>
      </c>
      <c r="P60" s="71">
        <f t="shared" si="48"/>
        <v>596174357.31587601</v>
      </c>
      <c r="Q60" s="71">
        <f t="shared" si="48"/>
        <v>401980755.58432037</v>
      </c>
      <c r="R60" s="71">
        <f t="shared" si="48"/>
        <v>1323487152.9585526</v>
      </c>
    </row>
    <row r="61" spans="1:18">
      <c r="A61" s="65" t="s">
        <v>417</v>
      </c>
      <c r="B61" s="89">
        <v>1</v>
      </c>
      <c r="C61" s="71">
        <f>IFERROR(C18/$B61,0)</f>
        <v>4.5584461168876747E-3</v>
      </c>
      <c r="D61" s="71">
        <f>IFERROR(D18/$B61,0)</f>
        <v>3.2196870989714707E-5</v>
      </c>
      <c r="E61" s="71">
        <f>IFERROR(E18/$B61,0)</f>
        <v>2.3538897106911438E-2</v>
      </c>
      <c r="F61" s="71">
        <f>IFERROR(F18/$B61,0)</f>
        <v>406376.58677067928</v>
      </c>
      <c r="G61" s="70">
        <f t="shared" si="35"/>
        <v>3.8188946282145708E-3</v>
      </c>
      <c r="H61" s="70">
        <f t="shared" si="36"/>
        <v>3.1971055452367859E-5</v>
      </c>
      <c r="I61" s="71">
        <f t="shared" ref="I61:R61" si="49">IFERROR(I18/$B61,0)</f>
        <v>65853.140424406723</v>
      </c>
      <c r="J61" s="71">
        <f t="shared" si="49"/>
        <v>339379.66566844413</v>
      </c>
      <c r="K61" s="71">
        <f t="shared" si="49"/>
        <v>118378.85957244541</v>
      </c>
      <c r="L61" s="71">
        <f t="shared" si="49"/>
        <v>75332.001546101616</v>
      </c>
      <c r="M61" s="71">
        <f t="shared" si="49"/>
        <v>344679.03882161091</v>
      </c>
      <c r="N61" s="71">
        <f t="shared" si="49"/>
        <v>77640.852560375526</v>
      </c>
      <c r="O61" s="71">
        <f t="shared" si="49"/>
        <v>400128.62582309567</v>
      </c>
      <c r="P61" s="71">
        <f t="shared" si="49"/>
        <v>139568.67543591314</v>
      </c>
      <c r="Q61" s="71">
        <f t="shared" si="49"/>
        <v>88816.42982285381</v>
      </c>
      <c r="R61" s="71">
        <f t="shared" si="49"/>
        <v>406376.58677067928</v>
      </c>
    </row>
    <row r="62" spans="1:18">
      <c r="A62" s="65" t="s">
        <v>418</v>
      </c>
      <c r="B62" s="89">
        <v>1.339E-6</v>
      </c>
      <c r="C62" s="71">
        <f>IFERROR(C27/$B62,0)</f>
        <v>0</v>
      </c>
      <c r="D62" s="71">
        <f>IFERROR(D27/$B62,0)</f>
        <v>0</v>
      </c>
      <c r="E62" s="71">
        <f>IFERROR(E27/$B62,0)</f>
        <v>0</v>
      </c>
      <c r="F62" s="71">
        <f>IFERROR(F27/$B62,0)</f>
        <v>45722250.655616365</v>
      </c>
      <c r="G62" s="70">
        <f t="shared" si="35"/>
        <v>45722250.655616365</v>
      </c>
      <c r="H62" s="70">
        <f t="shared" si="36"/>
        <v>45722250.655616365</v>
      </c>
      <c r="I62" s="71">
        <f t="shared" ref="I62:R62" si="50">IFERROR(I27/$B62,0)</f>
        <v>191769393.25654101</v>
      </c>
      <c r="J62" s="71">
        <f t="shared" si="50"/>
        <v>323079470.4124977</v>
      </c>
      <c r="K62" s="71">
        <f t="shared" si="50"/>
        <v>231749584.78352305</v>
      </c>
      <c r="L62" s="71">
        <f t="shared" si="50"/>
        <v>196657068.94673771</v>
      </c>
      <c r="M62" s="71">
        <f t="shared" si="50"/>
        <v>34248876.895592779</v>
      </c>
      <c r="N62" s="71">
        <f t="shared" si="50"/>
        <v>256012139.99748227</v>
      </c>
      <c r="O62" s="71">
        <f t="shared" si="50"/>
        <v>431311093.00068438</v>
      </c>
      <c r="P62" s="71">
        <f t="shared" si="50"/>
        <v>309385695.68600333</v>
      </c>
      <c r="Q62" s="71">
        <f t="shared" si="50"/>
        <v>262537187.04389489</v>
      </c>
      <c r="R62" s="71">
        <f t="shared" si="50"/>
        <v>45722250.655616365</v>
      </c>
    </row>
    <row r="63" spans="1:18">
      <c r="A63" s="63" t="s">
        <v>30</v>
      </c>
      <c r="B63" s="82" t="s">
        <v>6</v>
      </c>
      <c r="C63" s="67">
        <f>IFERROR(1/SUM(1/C66,1/C68,1/C72,1/C73,1/C75),0)</f>
        <v>2.891503800865431E-3</v>
      </c>
      <c r="D63" s="67">
        <f>IFERROR(1/SUM(1/D64,1/D65,1/D66,1/D68,1/D72,1/D73,1/D75),0)</f>
        <v>1.3846444832469878E-5</v>
      </c>
      <c r="E63" s="67">
        <f t="shared" ref="E63" si="51">IFERROR(1/SUM(1/E64,1/E65,1/E66,1/E68,1/E72,1/E73,1/E75),0)</f>
        <v>1.0123034636258674E-2</v>
      </c>
      <c r="F63" s="67">
        <f>IFERROR(1/SUM(1/F64,1/F65,1/F66,1/F67,1/F68,1/F69,1/F70,1/F71,1/F72,1/F73,1/F74,1/F75,1/F76),0)</f>
        <v>2.2023947054089796</v>
      </c>
      <c r="G63" s="68">
        <f t="shared" ref="G63:R63" si="52">IFERROR(1/SUM(1/G64,1/G65,1/G66,1/G67,1/G68,1/G69,1/G70,1/G71,1/G72,1/G73,1/G74,1/G75,1/G76),0)</f>
        <v>2.2467898070126393E-3</v>
      </c>
      <c r="H63" s="68">
        <f t="shared" si="52"/>
        <v>1.3780368617969506E-5</v>
      </c>
      <c r="I63" s="67">
        <f>IFERROR(1/SUM(1/I64,1/I65,1/I66,1/I67,1/I68,1/I69,1/I70,1/I72,1/I73,1/I75,1/I76),0)</f>
        <v>0.36102318009187684</v>
      </c>
      <c r="J63" s="67">
        <f t="shared" ref="J63:M63" si="53">IFERROR(1/SUM(1/J64,1/J65,1/J66,1/J67,1/J68,1/J69,1/J70,1/J72,1/J73,1/J75,1/J76),0)</f>
        <v>1.9574756725726805</v>
      </c>
      <c r="K63" s="67">
        <f t="shared" si="53"/>
        <v>0.68080489307874503</v>
      </c>
      <c r="L63" s="67">
        <f t="shared" si="53"/>
        <v>0.42600450981019733</v>
      </c>
      <c r="M63" s="67">
        <f t="shared" si="53"/>
        <v>1.8817493251301023</v>
      </c>
      <c r="N63" s="67">
        <f t="shared" si="52"/>
        <v>0.42094399057022686</v>
      </c>
      <c r="O63" s="67">
        <f t="shared" si="52"/>
        <v>2.287568900698572</v>
      </c>
      <c r="P63" s="67">
        <f t="shared" si="52"/>
        <v>0.79529904101008086</v>
      </c>
      <c r="Q63" s="67">
        <f t="shared" si="52"/>
        <v>0.49721804680102261</v>
      </c>
      <c r="R63" s="67">
        <f t="shared" si="52"/>
        <v>2.2023947054089796</v>
      </c>
    </row>
    <row r="64" spans="1:18">
      <c r="A64" s="65" t="s">
        <v>406</v>
      </c>
      <c r="B64" s="89">
        <v>1</v>
      </c>
      <c r="C64" s="72">
        <f>IFERROR(C25/$B64,0)</f>
        <v>0</v>
      </c>
      <c r="D64" s="72">
        <f>IFERROR(D25/$B64,0)</f>
        <v>8.5117712680595412E-2</v>
      </c>
      <c r="E64" s="72">
        <f>IFERROR(E25/$B64,0)</f>
        <v>62.228937756225733</v>
      </c>
      <c r="F64" s="72">
        <f>IFERROR(F25/$B64,0)</f>
        <v>10072.021854907698</v>
      </c>
      <c r="G64" s="70">
        <f t="shared" ref="G64:G76" si="54">(IF(AND(C64&lt;&gt;0,E64&lt;&gt;0,F64&lt;&gt;0),1/((1/C64)+(1/E64)+(1/F64)),IF(AND(C64&lt;&gt;0,E64&lt;&gt;0,F64=0), 1/((1/C64)+(1/E64)),IF(AND(C64&lt;&gt;0,E64=0,F64&lt;&gt;0),1/((1/C64)+(1/F64)),IF(AND(C64=0,E64&lt;&gt;0,F64&lt;&gt;0),1/((1/E64)+(1/F64)),IF(AND(C64&lt;&gt;0,E64=0,F64=0),1/(1/C64),IF(AND(C64=0,E64&lt;&gt;0,F64=0),1/(1/E64),IF(AND(C64=0,E64=0,F64&lt;&gt;0),1/(1/F64),IF(AND(C64=0,E64=0,F64=0),0)))))))))</f>
        <v>61.846823599639883</v>
      </c>
      <c r="H64" s="70">
        <f t="shared" ref="H64:H76" si="55">(IF(AND(C64&lt;&gt;0,D64&lt;&gt;0,F64&lt;&gt;0),1/((1/C64)+(1/D64)+(1/F64)),IF(AND(C64&lt;&gt;0,D64&lt;&gt;0,F64=0), 1/((1/C64)+(1/D64)),IF(AND(C64&lt;&gt;0,D64=0,F64&lt;&gt;0),1/((1/C64)+(1/F64)),IF(AND(C64=0,D64&lt;&gt;0,F64&lt;&gt;0),1/((1/D64)+(1/F64)),IF(AND(C64&lt;&gt;0,D64=0,F64=0),1/(1/C64),IF(AND(C64=0,D64&lt;&gt;0,F64=0),1/(1/D64),IF(AND(C64=0,D64=0,F64&lt;&gt;0),1/(1/F64),IF(AND(C64=0,D64=0,F64=0),0)))))))))</f>
        <v>8.5116993364862198E-2</v>
      </c>
      <c r="I64" s="72">
        <f t="shared" ref="I64:R64" si="56">IFERROR(I25/$B64,0)</f>
        <v>1712.5741321729995</v>
      </c>
      <c r="J64" s="72">
        <f t="shared" si="56"/>
        <v>8272.6038588017782</v>
      </c>
      <c r="K64" s="72">
        <f t="shared" si="56"/>
        <v>2900.9428093272204</v>
      </c>
      <c r="L64" s="72">
        <f t="shared" si="56"/>
        <v>1877.2447218050183</v>
      </c>
      <c r="M64" s="72">
        <f t="shared" si="56"/>
        <v>8386.3629099980826</v>
      </c>
      <c r="N64" s="72">
        <f t="shared" si="56"/>
        <v>2056.801532739772</v>
      </c>
      <c r="O64" s="72">
        <f t="shared" si="56"/>
        <v>9935.3972344209342</v>
      </c>
      <c r="P64" s="72">
        <f t="shared" si="56"/>
        <v>3484.0323140019918</v>
      </c>
      <c r="Q64" s="72">
        <f t="shared" si="56"/>
        <v>2254.5709108878273</v>
      </c>
      <c r="R64" s="72">
        <f t="shared" si="56"/>
        <v>10072.021854907698</v>
      </c>
    </row>
    <row r="65" spans="1:18">
      <c r="A65" s="65" t="s">
        <v>407</v>
      </c>
      <c r="B65" s="89">
        <v>1</v>
      </c>
      <c r="C65" s="72">
        <f>IFERROR(C21/$B65,0)</f>
        <v>0</v>
      </c>
      <c r="D65" s="72">
        <f>IFERROR(D21/$B65,0)</f>
        <v>7.3165487934107598E-2</v>
      </c>
      <c r="E65" s="72">
        <f>IFERROR(E21/$B65,0)</f>
        <v>53.490753583107427</v>
      </c>
      <c r="F65" s="72">
        <f>IFERROR(F21/$B65,0)</f>
        <v>626030431.08198202</v>
      </c>
      <c r="G65" s="70">
        <f t="shared" si="54"/>
        <v>53.490749012625976</v>
      </c>
      <c r="H65" s="70">
        <f t="shared" si="55"/>
        <v>7.3165487925556605E-2</v>
      </c>
      <c r="I65" s="72">
        <f t="shared" ref="I65:R65" si="57">IFERROR(I21/$B65,0)</f>
        <v>403268060.79467475</v>
      </c>
      <c r="J65" s="72">
        <f t="shared" si="57"/>
        <v>858682853.58866084</v>
      </c>
      <c r="K65" s="72">
        <f t="shared" si="57"/>
        <v>459019405.60499835</v>
      </c>
      <c r="L65" s="72">
        <f t="shared" si="57"/>
        <v>403268060.79467475</v>
      </c>
      <c r="M65" s="72">
        <f t="shared" si="57"/>
        <v>478697865.73813415</v>
      </c>
      <c r="N65" s="72">
        <f t="shared" si="57"/>
        <v>527385008.39481348</v>
      </c>
      <c r="O65" s="72">
        <f t="shared" si="57"/>
        <v>1122966354.0820596</v>
      </c>
      <c r="P65" s="72">
        <f t="shared" si="57"/>
        <v>600295378.21898127</v>
      </c>
      <c r="Q65" s="72">
        <f t="shared" si="57"/>
        <v>527385008.39481348</v>
      </c>
      <c r="R65" s="72">
        <f t="shared" si="57"/>
        <v>626030431.08198202</v>
      </c>
    </row>
    <row r="66" spans="1:18">
      <c r="A66" s="65" t="s">
        <v>408</v>
      </c>
      <c r="B66" s="89">
        <v>0.99980000000000002</v>
      </c>
      <c r="C66" s="72">
        <f>IFERROR(C17/$B66,0)</f>
        <v>39.689375295448208</v>
      </c>
      <c r="D66" s="72">
        <f>IFERROR(D17/$B66,0)</f>
        <v>1.1966363617313586E-2</v>
      </c>
      <c r="E66" s="72">
        <f>IFERROR(E17/$B66,0)</f>
        <v>8.7485209982614212</v>
      </c>
      <c r="F66" s="72">
        <f>IFERROR(F17/$B66,0)</f>
        <v>15.421982050836764</v>
      </c>
      <c r="G66" s="70">
        <f t="shared" si="54"/>
        <v>4.8937277269230028</v>
      </c>
      <c r="H66" s="70">
        <f t="shared" si="55"/>
        <v>1.1953484580872776E-2</v>
      </c>
      <c r="I66" s="72">
        <f t="shared" ref="I66:R66" si="58">IFERROR(I17/$B66,0)</f>
        <v>2.7922510094983677</v>
      </c>
      <c r="J66" s="72">
        <f t="shared" si="58"/>
        <v>12.527899529282676</v>
      </c>
      <c r="K66" s="72">
        <f t="shared" si="58"/>
        <v>4.4425175635754162</v>
      </c>
      <c r="L66" s="72">
        <f t="shared" si="58"/>
        <v>2.98757540443943</v>
      </c>
      <c r="M66" s="72">
        <f t="shared" si="58"/>
        <v>12.357357412529458</v>
      </c>
      <c r="N66" s="72">
        <f t="shared" si="58"/>
        <v>3.4847292598539625</v>
      </c>
      <c r="O66" s="72">
        <f t="shared" si="58"/>
        <v>15.63481861254478</v>
      </c>
      <c r="P66" s="72">
        <f t="shared" si="58"/>
        <v>5.5442619193421212</v>
      </c>
      <c r="Q66" s="72">
        <f t="shared" si="58"/>
        <v>3.7284941047404083</v>
      </c>
      <c r="R66" s="72">
        <f t="shared" si="58"/>
        <v>15.421982050836764</v>
      </c>
    </row>
    <row r="67" spans="1:18">
      <c r="A67" s="65" t="s">
        <v>409</v>
      </c>
      <c r="B67" s="89">
        <v>2.0000000000000001E-4</v>
      </c>
      <c r="C67" s="72">
        <f>IFERROR(C5/$B67,0)</f>
        <v>0</v>
      </c>
      <c r="D67" s="72">
        <f>IFERROR(D5/$B67,0)</f>
        <v>0</v>
      </c>
      <c r="E67" s="72">
        <f>IFERROR(E5/$B67,0)</f>
        <v>0</v>
      </c>
      <c r="F67" s="72">
        <f>IFERROR(F5/$B67,0)</f>
        <v>166524094.66780722</v>
      </c>
      <c r="G67" s="70">
        <f t="shared" si="54"/>
        <v>166524094.66780722</v>
      </c>
      <c r="H67" s="70">
        <f t="shared" si="55"/>
        <v>166524094.66780722</v>
      </c>
      <c r="I67" s="72">
        <f t="shared" ref="I67:R67" si="59">IFERROR(I5/$B67,0)</f>
        <v>263153885.13426638</v>
      </c>
      <c r="J67" s="72">
        <f t="shared" si="59"/>
        <v>464022827.04148746</v>
      </c>
      <c r="K67" s="72">
        <f t="shared" si="59"/>
        <v>330885475.82283282</v>
      </c>
      <c r="L67" s="72">
        <f t="shared" si="59"/>
        <v>274195306.88815176</v>
      </c>
      <c r="M67" s="72">
        <f t="shared" si="59"/>
        <v>100248618.8635629</v>
      </c>
      <c r="N67" s="72">
        <f t="shared" si="59"/>
        <v>437127842.52858692</v>
      </c>
      <c r="O67" s="72">
        <f t="shared" si="59"/>
        <v>770793473.80780411</v>
      </c>
      <c r="P67" s="72">
        <f t="shared" si="59"/>
        <v>549637540.39459455</v>
      </c>
      <c r="Q67" s="72">
        <f t="shared" si="59"/>
        <v>455468870.88642985</v>
      </c>
      <c r="R67" s="72">
        <f t="shared" si="59"/>
        <v>166524094.66780722</v>
      </c>
    </row>
    <row r="68" spans="1:18">
      <c r="A68" s="65" t="s">
        <v>410</v>
      </c>
      <c r="B68" s="89">
        <v>0.99999979999999999</v>
      </c>
      <c r="C68" s="72">
        <f>IFERROR(C9/$B68,0)</f>
        <v>49.247508076591679</v>
      </c>
      <c r="D68" s="72">
        <f>IFERROR(D9/$B68,0)</f>
        <v>1.5232817747599067E-2</v>
      </c>
      <c r="E68" s="72">
        <f>IFERROR(E9/$B68,0)</f>
        <v>11.13660174380337</v>
      </c>
      <c r="F68" s="72">
        <f>IFERROR(F9/$B68,0)</f>
        <v>2.6385865347776334</v>
      </c>
      <c r="G68" s="70">
        <f t="shared" si="54"/>
        <v>2.0446118513562426</v>
      </c>
      <c r="H68" s="70">
        <f t="shared" si="55"/>
        <v>1.5140725660042282E-2</v>
      </c>
      <c r="I68" s="72">
        <f t="shared" ref="I68:R68" si="60">IFERROR(I9/$B68,0)</f>
        <v>0.41515137638863364</v>
      </c>
      <c r="J68" s="72">
        <f t="shared" si="60"/>
        <v>2.3280851267665352</v>
      </c>
      <c r="K68" s="72">
        <f t="shared" si="60"/>
        <v>0.80559136132556297</v>
      </c>
      <c r="L68" s="72">
        <f t="shared" si="60"/>
        <v>0.49757113493637722</v>
      </c>
      <c r="M68" s="72">
        <f t="shared" si="60"/>
        <v>2.2844905063009806</v>
      </c>
      <c r="N68" s="72">
        <f t="shared" si="60"/>
        <v>0.47949983972887206</v>
      </c>
      <c r="O68" s="72">
        <f t="shared" si="60"/>
        <v>2.6889383214153484</v>
      </c>
      <c r="P68" s="72">
        <f t="shared" si="60"/>
        <v>0.93045802233102515</v>
      </c>
      <c r="Q68" s="72">
        <f t="shared" si="60"/>
        <v>0.57469466085151577</v>
      </c>
      <c r="R68" s="72">
        <f t="shared" si="60"/>
        <v>2.6385865347776334</v>
      </c>
    </row>
    <row r="69" spans="1:18">
      <c r="A69" s="65" t="s">
        <v>411</v>
      </c>
      <c r="B69" s="89">
        <v>1.9999999999999999E-7</v>
      </c>
      <c r="C69" s="72">
        <f>IFERROR(C24/$B69,0)</f>
        <v>0</v>
      </c>
      <c r="D69" s="72">
        <f>IFERROR(D24/$B69,0)</f>
        <v>0</v>
      </c>
      <c r="E69" s="72">
        <f>IFERROR(E24/$B69,0)</f>
        <v>0</v>
      </c>
      <c r="F69" s="72">
        <f>IFERROR(F24/$B69,0)</f>
        <v>25875636257.083309</v>
      </c>
      <c r="G69" s="70">
        <f t="shared" si="54"/>
        <v>25875636257.083309</v>
      </c>
      <c r="H69" s="70">
        <f t="shared" si="55"/>
        <v>25875636257.083309</v>
      </c>
      <c r="I69" s="72">
        <f t="shared" ref="I69:R69" si="61">IFERROR(I24/$B69,0)</f>
        <v>4310145709.8486423</v>
      </c>
      <c r="J69" s="72">
        <f t="shared" si="61"/>
        <v>21409874114.280842</v>
      </c>
      <c r="K69" s="72">
        <f t="shared" si="61"/>
        <v>7501627647.675499</v>
      </c>
      <c r="L69" s="72">
        <f t="shared" si="61"/>
        <v>4817221675.7131882</v>
      </c>
      <c r="M69" s="72">
        <f t="shared" si="61"/>
        <v>21689552604.428589</v>
      </c>
      <c r="N69" s="72">
        <f t="shared" si="61"/>
        <v>5142003831.8494301</v>
      </c>
      <c r="O69" s="72">
        <f t="shared" si="61"/>
        <v>25541979818.337048</v>
      </c>
      <c r="P69" s="72">
        <f t="shared" si="61"/>
        <v>8949441783.6768742</v>
      </c>
      <c r="Q69" s="72">
        <f t="shared" si="61"/>
        <v>5746945459.1258345</v>
      </c>
      <c r="R69" s="72">
        <f t="shared" si="61"/>
        <v>25875636257.083309</v>
      </c>
    </row>
    <row r="70" spans="1:18">
      <c r="A70" s="65" t="s">
        <v>412</v>
      </c>
      <c r="B70" s="89">
        <v>0.99979000004200003</v>
      </c>
      <c r="C70" s="72">
        <f>IFERROR(C20/$B70,0)</f>
        <v>0</v>
      </c>
      <c r="D70" s="72">
        <f>IFERROR(D20/$B70,0)</f>
        <v>0</v>
      </c>
      <c r="E70" s="72">
        <f>IFERROR(E20/$B70,0)</f>
        <v>0</v>
      </c>
      <c r="F70" s="72">
        <f>IFERROR(F20/$B70,0)</f>
        <v>47618.540298396147</v>
      </c>
      <c r="G70" s="70">
        <f t="shared" si="54"/>
        <v>47618.540298396147</v>
      </c>
      <c r="H70" s="70">
        <f t="shared" si="55"/>
        <v>47618.540298396147</v>
      </c>
      <c r="I70" s="72">
        <f t="shared" ref="I70:R70" si="62">IFERROR(I20/$B70,0)</f>
        <v>7740.0099963931616</v>
      </c>
      <c r="J70" s="72">
        <f t="shared" si="62"/>
        <v>39783.651381460841</v>
      </c>
      <c r="K70" s="72">
        <f t="shared" si="62"/>
        <v>13910.367615895402</v>
      </c>
      <c r="L70" s="72">
        <f t="shared" si="62"/>
        <v>8801.6927835090355</v>
      </c>
      <c r="M70" s="72">
        <f t="shared" si="62"/>
        <v>40388.92306903829</v>
      </c>
      <c r="N70" s="72">
        <f t="shared" si="62"/>
        <v>9125.4717857475371</v>
      </c>
      <c r="O70" s="72">
        <f t="shared" si="62"/>
        <v>46904.92497874234</v>
      </c>
      <c r="P70" s="72">
        <f t="shared" si="62"/>
        <v>16400.323419140677</v>
      </c>
      <c r="Q70" s="72">
        <f t="shared" si="62"/>
        <v>10377.195791757154</v>
      </c>
      <c r="R70" s="72">
        <f t="shared" si="62"/>
        <v>47618.540298396147</v>
      </c>
    </row>
    <row r="71" spans="1:18">
      <c r="A71" s="65" t="s">
        <v>413</v>
      </c>
      <c r="B71" s="89">
        <v>2.0999995799999999E-4</v>
      </c>
      <c r="C71" s="72">
        <f>IFERROR(C29/$B71,0)</f>
        <v>0</v>
      </c>
      <c r="D71" s="72">
        <f>IFERROR(D29/$B71,0)</f>
        <v>0</v>
      </c>
      <c r="E71" s="72">
        <f>IFERROR(E29/$B71,0)</f>
        <v>0</v>
      </c>
      <c r="F71" s="72">
        <f>IFERROR(F29/$B71,0)</f>
        <v>6758.2844144737364</v>
      </c>
      <c r="G71" s="70">
        <f t="shared" si="54"/>
        <v>6758.2844144737364</v>
      </c>
      <c r="H71" s="70">
        <f t="shared" si="55"/>
        <v>6758.2844144737364</v>
      </c>
      <c r="I71" s="72">
        <f t="shared" ref="I71:R71" si="63">IFERROR(I29/$B71,0)</f>
        <v>0</v>
      </c>
      <c r="J71" s="72">
        <f t="shared" si="63"/>
        <v>0</v>
      </c>
      <c r="K71" s="72">
        <f t="shared" si="63"/>
        <v>0</v>
      </c>
      <c r="L71" s="72">
        <f t="shared" si="63"/>
        <v>0</v>
      </c>
      <c r="M71" s="72">
        <f t="shared" si="63"/>
        <v>0</v>
      </c>
      <c r="N71" s="72">
        <f t="shared" si="63"/>
        <v>1243.3737492174057</v>
      </c>
      <c r="O71" s="72">
        <f t="shared" si="63"/>
        <v>6808.229431690429</v>
      </c>
      <c r="P71" s="72">
        <f t="shared" si="63"/>
        <v>2370.5936874675804</v>
      </c>
      <c r="Q71" s="72">
        <f t="shared" si="63"/>
        <v>1474.9664818985873</v>
      </c>
      <c r="R71" s="72">
        <f t="shared" si="63"/>
        <v>6758.2844144737364</v>
      </c>
    </row>
    <row r="72" spans="1:18">
      <c r="A72" s="65" t="s">
        <v>414</v>
      </c>
      <c r="B72" s="89">
        <v>1</v>
      </c>
      <c r="C72" s="72">
        <f>IFERROR(C16/$B72,0)</f>
        <v>7.9248847721754122E-3</v>
      </c>
      <c r="D72" s="72">
        <f>IFERROR(D16/$B72,0)</f>
        <v>2.4988616290524844E-5</v>
      </c>
      <c r="E72" s="72">
        <f>IFERROR(E16/$B72,0)</f>
        <v>1.8268994769543207E-2</v>
      </c>
      <c r="F72" s="72">
        <f>IFERROR(F16/$B72,0)</f>
        <v>1726.6323179841763</v>
      </c>
      <c r="G72" s="70">
        <f t="shared" si="54"/>
        <v>5.5272154229584411E-3</v>
      </c>
      <c r="H72" s="70">
        <f t="shared" si="55"/>
        <v>2.4910069907381045E-5</v>
      </c>
      <c r="I72" s="72">
        <f t="shared" ref="I72:R72" si="64">IFERROR(I16/$B72,0)</f>
        <v>1396.6178329144075</v>
      </c>
      <c r="J72" s="72">
        <f t="shared" si="64"/>
        <v>2196.9269281799666</v>
      </c>
      <c r="K72" s="72">
        <f t="shared" si="64"/>
        <v>1422.0108844219424</v>
      </c>
      <c r="L72" s="72">
        <f t="shared" si="64"/>
        <v>1396.6178329144075</v>
      </c>
      <c r="M72" s="72">
        <f t="shared" si="64"/>
        <v>1151.8561160668287</v>
      </c>
      <c r="N72" s="72">
        <f t="shared" si="64"/>
        <v>2093.5301315386964</v>
      </c>
      <c r="O72" s="72">
        <f t="shared" si="64"/>
        <v>3293.1934653417702</v>
      </c>
      <c r="P72" s="72">
        <f t="shared" si="64"/>
        <v>2131.5943157484917</v>
      </c>
      <c r="Q72" s="72">
        <f t="shared" si="64"/>
        <v>2093.5301315386964</v>
      </c>
      <c r="R72" s="72">
        <f t="shared" si="64"/>
        <v>1726.6323179841763</v>
      </c>
    </row>
    <row r="73" spans="1:18">
      <c r="A73" s="65" t="s">
        <v>415</v>
      </c>
      <c r="B73" s="89">
        <v>1</v>
      </c>
      <c r="C73" s="72">
        <f>IFERROR(C7/$B73,0)</f>
        <v>4.2104731308657151</v>
      </c>
      <c r="D73" s="72">
        <f>IFERROR(D7/$B73,0)</f>
        <v>1.0320640837798961E-3</v>
      </c>
      <c r="E73" s="72">
        <f>IFERROR(E7/$B73,0)</f>
        <v>0.75453451000236682</v>
      </c>
      <c r="F73" s="72">
        <f>IFERROR(F7/$B73,0)</f>
        <v>106.74621453064566</v>
      </c>
      <c r="G73" s="70">
        <f t="shared" si="54"/>
        <v>0.63605485518860572</v>
      </c>
      <c r="H73" s="70">
        <f t="shared" si="55"/>
        <v>1.0318011945517069E-3</v>
      </c>
      <c r="I73" s="72">
        <f t="shared" ref="I73:R73" si="65">IFERROR(I7/$B73,0)</f>
        <v>638.16367754879707</v>
      </c>
      <c r="J73" s="72">
        <f t="shared" si="65"/>
        <v>1112.9878423916516</v>
      </c>
      <c r="K73" s="72">
        <f t="shared" si="65"/>
        <v>769.47307622138885</v>
      </c>
      <c r="L73" s="72">
        <f t="shared" si="65"/>
        <v>651.50507847316203</v>
      </c>
      <c r="M73" s="72">
        <f t="shared" si="65"/>
        <v>85.124572990945495</v>
      </c>
      <c r="N73" s="72">
        <f t="shared" si="65"/>
        <v>800.25725164619132</v>
      </c>
      <c r="O73" s="72">
        <f t="shared" si="65"/>
        <v>1395.6867543591311</v>
      </c>
      <c r="P73" s="72">
        <f t="shared" si="65"/>
        <v>964.91923758162159</v>
      </c>
      <c r="Q73" s="72">
        <f t="shared" si="65"/>
        <v>816.98736840534502</v>
      </c>
      <c r="R73" s="72">
        <f t="shared" si="65"/>
        <v>106.74621453064566</v>
      </c>
    </row>
    <row r="74" spans="1:18">
      <c r="A74" s="65" t="s">
        <v>416</v>
      </c>
      <c r="B74" s="91">
        <v>1.9000000000000001E-8</v>
      </c>
      <c r="C74" s="72">
        <f>IFERROR(C12/$B74,0)</f>
        <v>0</v>
      </c>
      <c r="D74" s="72">
        <f>IFERROR(D12/$B74,0)</f>
        <v>0</v>
      </c>
      <c r="E74" s="72">
        <f>IFERROR(E12/$B74,0)</f>
        <v>0</v>
      </c>
      <c r="F74" s="72">
        <f>IFERROR(F12/$B74,0)</f>
        <v>1323487152.9585526</v>
      </c>
      <c r="G74" s="70">
        <f t="shared" si="54"/>
        <v>1323487152.9585526</v>
      </c>
      <c r="H74" s="70">
        <f t="shared" si="55"/>
        <v>1323487152.9585526</v>
      </c>
      <c r="I74" s="72">
        <f t="shared" ref="I74:R74" si="66">IFERROR(I12/$B74,0)</f>
        <v>0</v>
      </c>
      <c r="J74" s="72">
        <f t="shared" si="66"/>
        <v>0</v>
      </c>
      <c r="K74" s="72">
        <f t="shared" si="66"/>
        <v>0</v>
      </c>
      <c r="L74" s="72">
        <f t="shared" si="66"/>
        <v>0</v>
      </c>
      <c r="M74" s="72">
        <f t="shared" si="66"/>
        <v>0</v>
      </c>
      <c r="N74" s="72">
        <f t="shared" si="66"/>
        <v>376244182.81825101</v>
      </c>
      <c r="O74" s="72">
        <f t="shared" si="66"/>
        <v>1663181832.4041286</v>
      </c>
      <c r="P74" s="72">
        <f t="shared" si="66"/>
        <v>596174357.31587601</v>
      </c>
      <c r="Q74" s="72">
        <f t="shared" si="66"/>
        <v>401980755.58432037</v>
      </c>
      <c r="R74" s="72">
        <f t="shared" si="66"/>
        <v>1323487152.9585526</v>
      </c>
    </row>
    <row r="75" spans="1:18">
      <c r="A75" s="65" t="s">
        <v>417</v>
      </c>
      <c r="B75" s="89">
        <v>1</v>
      </c>
      <c r="C75" s="72">
        <f>IFERROR(C18/$B75,0)</f>
        <v>4.5584461168876747E-3</v>
      </c>
      <c r="D75" s="72">
        <f>IFERROR(D18/$B75,0)</f>
        <v>3.2196870989714707E-5</v>
      </c>
      <c r="E75" s="72">
        <f>IFERROR(E18/$B75,0)</f>
        <v>2.3538897106911438E-2</v>
      </c>
      <c r="F75" s="72">
        <f>IFERROR(F18/$B75,0)</f>
        <v>406376.58677067928</v>
      </c>
      <c r="G75" s="70">
        <f t="shared" si="54"/>
        <v>3.8188946282145708E-3</v>
      </c>
      <c r="H75" s="70">
        <f t="shared" si="55"/>
        <v>3.1971055452367859E-5</v>
      </c>
      <c r="I75" s="72">
        <f t="shared" ref="I75:R75" si="67">IFERROR(I18/$B75,0)</f>
        <v>65853.140424406723</v>
      </c>
      <c r="J75" s="72">
        <f t="shared" si="67"/>
        <v>339379.66566844413</v>
      </c>
      <c r="K75" s="72">
        <f t="shared" si="67"/>
        <v>118378.85957244541</v>
      </c>
      <c r="L75" s="72">
        <f t="shared" si="67"/>
        <v>75332.001546101616</v>
      </c>
      <c r="M75" s="72">
        <f t="shared" si="67"/>
        <v>344679.03882161091</v>
      </c>
      <c r="N75" s="72">
        <f t="shared" si="67"/>
        <v>77640.852560375526</v>
      </c>
      <c r="O75" s="72">
        <f t="shared" si="67"/>
        <v>400128.62582309567</v>
      </c>
      <c r="P75" s="72">
        <f t="shared" si="67"/>
        <v>139568.67543591314</v>
      </c>
      <c r="Q75" s="72">
        <f t="shared" si="67"/>
        <v>88816.42982285381</v>
      </c>
      <c r="R75" s="72">
        <f t="shared" si="67"/>
        <v>406376.58677067928</v>
      </c>
    </row>
    <row r="76" spans="1:18">
      <c r="A76" s="65" t="s">
        <v>418</v>
      </c>
      <c r="B76" s="89">
        <v>1.339E-6</v>
      </c>
      <c r="C76" s="72">
        <f>IFERROR(C27/$B76,0)</f>
        <v>0</v>
      </c>
      <c r="D76" s="72">
        <f>IFERROR(D27/$B76,0)</f>
        <v>0</v>
      </c>
      <c r="E76" s="72">
        <f>IFERROR(E27/$B76,0)</f>
        <v>0</v>
      </c>
      <c r="F76" s="72">
        <f>IFERROR(F27/$B76,0)</f>
        <v>45722250.655616365</v>
      </c>
      <c r="G76" s="70">
        <f t="shared" si="54"/>
        <v>45722250.655616365</v>
      </c>
      <c r="H76" s="70">
        <f t="shared" si="55"/>
        <v>45722250.655616365</v>
      </c>
      <c r="I76" s="72">
        <f t="shared" ref="I76:R76" si="68">IFERROR(I27/$B76,0)</f>
        <v>191769393.25654101</v>
      </c>
      <c r="J76" s="72">
        <f t="shared" si="68"/>
        <v>323079470.4124977</v>
      </c>
      <c r="K76" s="72">
        <f t="shared" si="68"/>
        <v>231749584.78352305</v>
      </c>
      <c r="L76" s="72">
        <f t="shared" si="68"/>
        <v>196657068.94673771</v>
      </c>
      <c r="M76" s="72">
        <f t="shared" si="68"/>
        <v>34248876.895592779</v>
      </c>
      <c r="N76" s="72">
        <f t="shared" si="68"/>
        <v>256012139.99748227</v>
      </c>
      <c r="O76" s="72">
        <f t="shared" si="68"/>
        <v>431311093.00068438</v>
      </c>
      <c r="P76" s="72">
        <f t="shared" si="68"/>
        <v>309385695.68600333</v>
      </c>
      <c r="Q76" s="72">
        <f t="shared" si="68"/>
        <v>262537187.04389489</v>
      </c>
      <c r="R76" s="72">
        <f t="shared" si="68"/>
        <v>45722250.655616365</v>
      </c>
    </row>
  </sheetData>
  <sheetProtection algorithmName="SHA-512" hashValue="cMB3wikKtfOBBgvrvohzyOBsW0u+diFcd55v+EMle9kujXzqdz9LYS4fi1d/HK3JE7iHIJfzB2hDEvz+P3GR5g==" saltValue="KlOISW/koF5wCxukic89Bw==" spinCount="100000" sheet="1" objects="1" scenarios="1"/>
  <autoFilter ref="A1:R76" xr:uid="{00000000-0009-0000-0000-000008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3"/>
  <sheetViews>
    <sheetView workbookViewId="0">
      <selection sqref="A1:C1"/>
    </sheetView>
  </sheetViews>
  <sheetFormatPr defaultRowHeight="14.25"/>
  <cols>
    <col min="1" max="1" width="9.86328125" style="4" bestFit="1" customWidth="1"/>
    <col min="2" max="2" width="8.59765625" style="4" bestFit="1" customWidth="1"/>
    <col min="3" max="3" width="11" style="4" bestFit="1" customWidth="1"/>
    <col min="4" max="4" width="16.86328125" style="4" bestFit="1" customWidth="1"/>
    <col min="5" max="5" width="9" style="4" bestFit="1" customWidth="1"/>
    <col min="6" max="6" width="11.1328125" style="4" bestFit="1" customWidth="1"/>
    <col min="7" max="7" width="15.73046875" style="4" bestFit="1" customWidth="1"/>
    <col min="8" max="8" width="8.265625" style="4" bestFit="1" customWidth="1"/>
    <col min="9" max="9" width="11.1328125" style="4" bestFit="1" customWidth="1"/>
    <col min="10" max="10" width="16.86328125" style="4" bestFit="1" customWidth="1"/>
    <col min="11" max="11" width="8.265625" style="4" bestFit="1" customWidth="1"/>
    <col min="12" max="12" width="11.1328125" style="4" bestFit="1" customWidth="1"/>
    <col min="13" max="13" width="16.265625" style="4" bestFit="1" customWidth="1"/>
    <col min="14" max="14" width="8.265625" style="4" bestFit="1" customWidth="1"/>
    <col min="15" max="15" width="11.1328125" style="4" bestFit="1" customWidth="1"/>
    <col min="16" max="256" width="9.1328125" style="4"/>
    <col min="257" max="257" width="9.3984375" style="4" bestFit="1" customWidth="1"/>
    <col min="258" max="258" width="10" style="4" bestFit="1" customWidth="1"/>
    <col min="259" max="259" width="9.1328125" style="4"/>
    <col min="260" max="260" width="11.73046875" style="4" bestFit="1" customWidth="1"/>
    <col min="261" max="261" width="9.59765625" style="4" customWidth="1"/>
    <col min="262" max="262" width="11.1328125" style="4" bestFit="1" customWidth="1"/>
    <col min="263" max="263" width="8.1328125" style="4" bestFit="1" customWidth="1"/>
    <col min="264" max="264" width="8" style="4" customWidth="1"/>
    <col min="265" max="265" width="11.1328125" style="4" bestFit="1" customWidth="1"/>
    <col min="266" max="266" width="9.265625" style="4" bestFit="1" customWidth="1"/>
    <col min="267" max="267" width="7.265625" style="4" customWidth="1"/>
    <col min="268" max="268" width="11.1328125" style="4" bestFit="1" customWidth="1"/>
    <col min="269" max="269" width="8.73046875" style="4" customWidth="1"/>
    <col min="270" max="270" width="9" style="4" customWidth="1"/>
    <col min="271" max="271" width="11.1328125" style="4" bestFit="1" customWidth="1"/>
    <col min="272" max="512" width="9.1328125" style="4"/>
    <col min="513" max="513" width="9.3984375" style="4" bestFit="1" customWidth="1"/>
    <col min="514" max="514" width="10" style="4" bestFit="1" customWidth="1"/>
    <col min="515" max="515" width="9.1328125" style="4"/>
    <col min="516" max="516" width="11.73046875" style="4" bestFit="1" customWidth="1"/>
    <col min="517" max="517" width="9.59765625" style="4" customWidth="1"/>
    <col min="518" max="518" width="11.1328125" style="4" bestFit="1" customWidth="1"/>
    <col min="519" max="519" width="8.1328125" style="4" bestFit="1" customWidth="1"/>
    <col min="520" max="520" width="8" style="4" customWidth="1"/>
    <col min="521" max="521" width="11.1328125" style="4" bestFit="1" customWidth="1"/>
    <col min="522" max="522" width="9.265625" style="4" bestFit="1" customWidth="1"/>
    <col min="523" max="523" width="7.265625" style="4" customWidth="1"/>
    <col min="524" max="524" width="11.1328125" style="4" bestFit="1" customWidth="1"/>
    <col min="525" max="525" width="8.73046875" style="4" customWidth="1"/>
    <col min="526" max="526" width="9" style="4" customWidth="1"/>
    <col min="527" max="527" width="11.1328125" style="4" bestFit="1" customWidth="1"/>
    <col min="528" max="768" width="9.1328125" style="4"/>
    <col min="769" max="769" width="9.3984375" style="4" bestFit="1" customWidth="1"/>
    <col min="770" max="770" width="10" style="4" bestFit="1" customWidth="1"/>
    <col min="771" max="771" width="9.1328125" style="4"/>
    <col min="772" max="772" width="11.73046875" style="4" bestFit="1" customWidth="1"/>
    <col min="773" max="773" width="9.59765625" style="4" customWidth="1"/>
    <col min="774" max="774" width="11.1328125" style="4" bestFit="1" customWidth="1"/>
    <col min="775" max="775" width="8.1328125" style="4" bestFit="1" customWidth="1"/>
    <col min="776" max="776" width="8" style="4" customWidth="1"/>
    <col min="777" max="777" width="11.1328125" style="4" bestFit="1" customWidth="1"/>
    <col min="778" max="778" width="9.265625" style="4" bestFit="1" customWidth="1"/>
    <col min="779" max="779" width="7.265625" style="4" customWidth="1"/>
    <col min="780" max="780" width="11.1328125" style="4" bestFit="1" customWidth="1"/>
    <col min="781" max="781" width="8.73046875" style="4" customWidth="1"/>
    <col min="782" max="782" width="9" style="4" customWidth="1"/>
    <col min="783" max="783" width="11.1328125" style="4" bestFit="1" customWidth="1"/>
    <col min="784" max="1024" width="9.1328125" style="4"/>
    <col min="1025" max="1025" width="9.3984375" style="4" bestFit="1" customWidth="1"/>
    <col min="1026" max="1026" width="10" style="4" bestFit="1" customWidth="1"/>
    <col min="1027" max="1027" width="9.1328125" style="4"/>
    <col min="1028" max="1028" width="11.73046875" style="4" bestFit="1" customWidth="1"/>
    <col min="1029" max="1029" width="9.59765625" style="4" customWidth="1"/>
    <col min="1030" max="1030" width="11.1328125" style="4" bestFit="1" customWidth="1"/>
    <col min="1031" max="1031" width="8.1328125" style="4" bestFit="1" customWidth="1"/>
    <col min="1032" max="1032" width="8" style="4" customWidth="1"/>
    <col min="1033" max="1033" width="11.1328125" style="4" bestFit="1" customWidth="1"/>
    <col min="1034" max="1034" width="9.265625" style="4" bestFit="1" customWidth="1"/>
    <col min="1035" max="1035" width="7.265625" style="4" customWidth="1"/>
    <col min="1036" max="1036" width="11.1328125" style="4" bestFit="1" customWidth="1"/>
    <col min="1037" max="1037" width="8.73046875" style="4" customWidth="1"/>
    <col min="1038" max="1038" width="9" style="4" customWidth="1"/>
    <col min="1039" max="1039" width="11.1328125" style="4" bestFit="1" customWidth="1"/>
    <col min="1040" max="1280" width="9.1328125" style="4"/>
    <col min="1281" max="1281" width="9.3984375" style="4" bestFit="1" customWidth="1"/>
    <col min="1282" max="1282" width="10" style="4" bestFit="1" customWidth="1"/>
    <col min="1283" max="1283" width="9.1328125" style="4"/>
    <col min="1284" max="1284" width="11.73046875" style="4" bestFit="1" customWidth="1"/>
    <col min="1285" max="1285" width="9.59765625" style="4" customWidth="1"/>
    <col min="1286" max="1286" width="11.1328125" style="4" bestFit="1" customWidth="1"/>
    <col min="1287" max="1287" width="8.1328125" style="4" bestFit="1" customWidth="1"/>
    <col min="1288" max="1288" width="8" style="4" customWidth="1"/>
    <col min="1289" max="1289" width="11.1328125" style="4" bestFit="1" customWidth="1"/>
    <col min="1290" max="1290" width="9.265625" style="4" bestFit="1" customWidth="1"/>
    <col min="1291" max="1291" width="7.265625" style="4" customWidth="1"/>
    <col min="1292" max="1292" width="11.1328125" style="4" bestFit="1" customWidth="1"/>
    <col min="1293" max="1293" width="8.73046875" style="4" customWidth="1"/>
    <col min="1294" max="1294" width="9" style="4" customWidth="1"/>
    <col min="1295" max="1295" width="11.1328125" style="4" bestFit="1" customWidth="1"/>
    <col min="1296" max="1536" width="9.1328125" style="4"/>
    <col min="1537" max="1537" width="9.3984375" style="4" bestFit="1" customWidth="1"/>
    <col min="1538" max="1538" width="10" style="4" bestFit="1" customWidth="1"/>
    <col min="1539" max="1539" width="9.1328125" style="4"/>
    <col min="1540" max="1540" width="11.73046875" style="4" bestFit="1" customWidth="1"/>
    <col min="1541" max="1541" width="9.59765625" style="4" customWidth="1"/>
    <col min="1542" max="1542" width="11.1328125" style="4" bestFit="1" customWidth="1"/>
    <col min="1543" max="1543" width="8.1328125" style="4" bestFit="1" customWidth="1"/>
    <col min="1544" max="1544" width="8" style="4" customWidth="1"/>
    <col min="1545" max="1545" width="11.1328125" style="4" bestFit="1" customWidth="1"/>
    <col min="1546" max="1546" width="9.265625" style="4" bestFit="1" customWidth="1"/>
    <col min="1547" max="1547" width="7.265625" style="4" customWidth="1"/>
    <col min="1548" max="1548" width="11.1328125" style="4" bestFit="1" customWidth="1"/>
    <col min="1549" max="1549" width="8.73046875" style="4" customWidth="1"/>
    <col min="1550" max="1550" width="9" style="4" customWidth="1"/>
    <col min="1551" max="1551" width="11.1328125" style="4" bestFit="1" customWidth="1"/>
    <col min="1552" max="1792" width="9.1328125" style="4"/>
    <col min="1793" max="1793" width="9.3984375" style="4" bestFit="1" customWidth="1"/>
    <col min="1794" max="1794" width="10" style="4" bestFit="1" customWidth="1"/>
    <col min="1795" max="1795" width="9.1328125" style="4"/>
    <col min="1796" max="1796" width="11.73046875" style="4" bestFit="1" customWidth="1"/>
    <col min="1797" max="1797" width="9.59765625" style="4" customWidth="1"/>
    <col min="1798" max="1798" width="11.1328125" style="4" bestFit="1" customWidth="1"/>
    <col min="1799" max="1799" width="8.1328125" style="4" bestFit="1" customWidth="1"/>
    <col min="1800" max="1800" width="8" style="4" customWidth="1"/>
    <col min="1801" max="1801" width="11.1328125" style="4" bestFit="1" customWidth="1"/>
    <col min="1802" max="1802" width="9.265625" style="4" bestFit="1" customWidth="1"/>
    <col min="1803" max="1803" width="7.265625" style="4" customWidth="1"/>
    <col min="1804" max="1804" width="11.1328125" style="4" bestFit="1" customWidth="1"/>
    <col min="1805" max="1805" width="8.73046875" style="4" customWidth="1"/>
    <col min="1806" max="1806" width="9" style="4" customWidth="1"/>
    <col min="1807" max="1807" width="11.1328125" style="4" bestFit="1" customWidth="1"/>
    <col min="1808" max="2048" width="9.1328125" style="4"/>
    <col min="2049" max="2049" width="9.3984375" style="4" bestFit="1" customWidth="1"/>
    <col min="2050" max="2050" width="10" style="4" bestFit="1" customWidth="1"/>
    <col min="2051" max="2051" width="9.1328125" style="4"/>
    <col min="2052" max="2052" width="11.73046875" style="4" bestFit="1" customWidth="1"/>
    <col min="2053" max="2053" width="9.59765625" style="4" customWidth="1"/>
    <col min="2054" max="2054" width="11.1328125" style="4" bestFit="1" customWidth="1"/>
    <col min="2055" max="2055" width="8.1328125" style="4" bestFit="1" customWidth="1"/>
    <col min="2056" max="2056" width="8" style="4" customWidth="1"/>
    <col min="2057" max="2057" width="11.1328125" style="4" bestFit="1" customWidth="1"/>
    <col min="2058" max="2058" width="9.265625" style="4" bestFit="1" customWidth="1"/>
    <col min="2059" max="2059" width="7.265625" style="4" customWidth="1"/>
    <col min="2060" max="2060" width="11.1328125" style="4" bestFit="1" customWidth="1"/>
    <col min="2061" max="2061" width="8.73046875" style="4" customWidth="1"/>
    <col min="2062" max="2062" width="9" style="4" customWidth="1"/>
    <col min="2063" max="2063" width="11.1328125" style="4" bestFit="1" customWidth="1"/>
    <col min="2064" max="2304" width="9.1328125" style="4"/>
    <col min="2305" max="2305" width="9.3984375" style="4" bestFit="1" customWidth="1"/>
    <col min="2306" max="2306" width="10" style="4" bestFit="1" customWidth="1"/>
    <col min="2307" max="2307" width="9.1328125" style="4"/>
    <col min="2308" max="2308" width="11.73046875" style="4" bestFit="1" customWidth="1"/>
    <col min="2309" max="2309" width="9.59765625" style="4" customWidth="1"/>
    <col min="2310" max="2310" width="11.1328125" style="4" bestFit="1" customWidth="1"/>
    <col min="2311" max="2311" width="8.1328125" style="4" bestFit="1" customWidth="1"/>
    <col min="2312" max="2312" width="8" style="4" customWidth="1"/>
    <col min="2313" max="2313" width="11.1328125" style="4" bestFit="1" customWidth="1"/>
    <col min="2314" max="2314" width="9.265625" style="4" bestFit="1" customWidth="1"/>
    <col min="2315" max="2315" width="7.265625" style="4" customWidth="1"/>
    <col min="2316" max="2316" width="11.1328125" style="4" bestFit="1" customWidth="1"/>
    <col min="2317" max="2317" width="8.73046875" style="4" customWidth="1"/>
    <col min="2318" max="2318" width="9" style="4" customWidth="1"/>
    <col min="2319" max="2319" width="11.1328125" style="4" bestFit="1" customWidth="1"/>
    <col min="2320" max="2560" width="9.1328125" style="4"/>
    <col min="2561" max="2561" width="9.3984375" style="4" bestFit="1" customWidth="1"/>
    <col min="2562" max="2562" width="10" style="4" bestFit="1" customWidth="1"/>
    <col min="2563" max="2563" width="9.1328125" style="4"/>
    <col min="2564" max="2564" width="11.73046875" style="4" bestFit="1" customWidth="1"/>
    <col min="2565" max="2565" width="9.59765625" style="4" customWidth="1"/>
    <col min="2566" max="2566" width="11.1328125" style="4" bestFit="1" customWidth="1"/>
    <col min="2567" max="2567" width="8.1328125" style="4" bestFit="1" customWidth="1"/>
    <col min="2568" max="2568" width="8" style="4" customWidth="1"/>
    <col min="2569" max="2569" width="11.1328125" style="4" bestFit="1" customWidth="1"/>
    <col min="2570" max="2570" width="9.265625" style="4" bestFit="1" customWidth="1"/>
    <col min="2571" max="2571" width="7.265625" style="4" customWidth="1"/>
    <col min="2572" max="2572" width="11.1328125" style="4" bestFit="1" customWidth="1"/>
    <col min="2573" max="2573" width="8.73046875" style="4" customWidth="1"/>
    <col min="2574" max="2574" width="9" style="4" customWidth="1"/>
    <col min="2575" max="2575" width="11.1328125" style="4" bestFit="1" customWidth="1"/>
    <col min="2576" max="2816" width="9.1328125" style="4"/>
    <col min="2817" max="2817" width="9.3984375" style="4" bestFit="1" customWidth="1"/>
    <col min="2818" max="2818" width="10" style="4" bestFit="1" customWidth="1"/>
    <col min="2819" max="2819" width="9.1328125" style="4"/>
    <col min="2820" max="2820" width="11.73046875" style="4" bestFit="1" customWidth="1"/>
    <col min="2821" max="2821" width="9.59765625" style="4" customWidth="1"/>
    <col min="2822" max="2822" width="11.1328125" style="4" bestFit="1" customWidth="1"/>
    <col min="2823" max="2823" width="8.1328125" style="4" bestFit="1" customWidth="1"/>
    <col min="2824" max="2824" width="8" style="4" customWidth="1"/>
    <col min="2825" max="2825" width="11.1328125" style="4" bestFit="1" customWidth="1"/>
    <col min="2826" max="2826" width="9.265625" style="4" bestFit="1" customWidth="1"/>
    <col min="2827" max="2827" width="7.265625" style="4" customWidth="1"/>
    <col min="2828" max="2828" width="11.1328125" style="4" bestFit="1" customWidth="1"/>
    <col min="2829" max="2829" width="8.73046875" style="4" customWidth="1"/>
    <col min="2830" max="2830" width="9" style="4" customWidth="1"/>
    <col min="2831" max="2831" width="11.1328125" style="4" bestFit="1" customWidth="1"/>
    <col min="2832" max="3072" width="9.1328125" style="4"/>
    <col min="3073" max="3073" width="9.3984375" style="4" bestFit="1" customWidth="1"/>
    <col min="3074" max="3074" width="10" style="4" bestFit="1" customWidth="1"/>
    <col min="3075" max="3075" width="9.1328125" style="4"/>
    <col min="3076" max="3076" width="11.73046875" style="4" bestFit="1" customWidth="1"/>
    <col min="3077" max="3077" width="9.59765625" style="4" customWidth="1"/>
    <col min="3078" max="3078" width="11.1328125" style="4" bestFit="1" customWidth="1"/>
    <col min="3079" max="3079" width="8.1328125" style="4" bestFit="1" customWidth="1"/>
    <col min="3080" max="3080" width="8" style="4" customWidth="1"/>
    <col min="3081" max="3081" width="11.1328125" style="4" bestFit="1" customWidth="1"/>
    <col min="3082" max="3082" width="9.265625" style="4" bestFit="1" customWidth="1"/>
    <col min="3083" max="3083" width="7.265625" style="4" customWidth="1"/>
    <col min="3084" max="3084" width="11.1328125" style="4" bestFit="1" customWidth="1"/>
    <col min="3085" max="3085" width="8.73046875" style="4" customWidth="1"/>
    <col min="3086" max="3086" width="9" style="4" customWidth="1"/>
    <col min="3087" max="3087" width="11.1328125" style="4" bestFit="1" customWidth="1"/>
    <col min="3088" max="3328" width="9.1328125" style="4"/>
    <col min="3329" max="3329" width="9.3984375" style="4" bestFit="1" customWidth="1"/>
    <col min="3330" max="3330" width="10" style="4" bestFit="1" customWidth="1"/>
    <col min="3331" max="3331" width="9.1328125" style="4"/>
    <col min="3332" max="3332" width="11.73046875" style="4" bestFit="1" customWidth="1"/>
    <col min="3333" max="3333" width="9.59765625" style="4" customWidth="1"/>
    <col min="3334" max="3334" width="11.1328125" style="4" bestFit="1" customWidth="1"/>
    <col min="3335" max="3335" width="8.1328125" style="4" bestFit="1" customWidth="1"/>
    <col min="3336" max="3336" width="8" style="4" customWidth="1"/>
    <col min="3337" max="3337" width="11.1328125" style="4" bestFit="1" customWidth="1"/>
    <col min="3338" max="3338" width="9.265625" style="4" bestFit="1" customWidth="1"/>
    <col min="3339" max="3339" width="7.265625" style="4" customWidth="1"/>
    <col min="3340" max="3340" width="11.1328125" style="4" bestFit="1" customWidth="1"/>
    <col min="3341" max="3341" width="8.73046875" style="4" customWidth="1"/>
    <col min="3342" max="3342" width="9" style="4" customWidth="1"/>
    <col min="3343" max="3343" width="11.1328125" style="4" bestFit="1" customWidth="1"/>
    <col min="3344" max="3584" width="9.1328125" style="4"/>
    <col min="3585" max="3585" width="9.3984375" style="4" bestFit="1" customWidth="1"/>
    <col min="3586" max="3586" width="10" style="4" bestFit="1" customWidth="1"/>
    <col min="3587" max="3587" width="9.1328125" style="4"/>
    <col min="3588" max="3588" width="11.73046875" style="4" bestFit="1" customWidth="1"/>
    <col min="3589" max="3589" width="9.59765625" style="4" customWidth="1"/>
    <col min="3590" max="3590" width="11.1328125" style="4" bestFit="1" customWidth="1"/>
    <col min="3591" max="3591" width="8.1328125" style="4" bestFit="1" customWidth="1"/>
    <col min="3592" max="3592" width="8" style="4" customWidth="1"/>
    <col min="3593" max="3593" width="11.1328125" style="4" bestFit="1" customWidth="1"/>
    <col min="3594" max="3594" width="9.265625" style="4" bestFit="1" customWidth="1"/>
    <col min="3595" max="3595" width="7.265625" style="4" customWidth="1"/>
    <col min="3596" max="3596" width="11.1328125" style="4" bestFit="1" customWidth="1"/>
    <col min="3597" max="3597" width="8.73046875" style="4" customWidth="1"/>
    <col min="3598" max="3598" width="9" style="4" customWidth="1"/>
    <col min="3599" max="3599" width="11.1328125" style="4" bestFit="1" customWidth="1"/>
    <col min="3600" max="3840" width="9.1328125" style="4"/>
    <col min="3841" max="3841" width="9.3984375" style="4" bestFit="1" customWidth="1"/>
    <col min="3842" max="3842" width="10" style="4" bestFit="1" customWidth="1"/>
    <col min="3843" max="3843" width="9.1328125" style="4"/>
    <col min="3844" max="3844" width="11.73046875" style="4" bestFit="1" customWidth="1"/>
    <col min="3845" max="3845" width="9.59765625" style="4" customWidth="1"/>
    <col min="3846" max="3846" width="11.1328125" style="4" bestFit="1" customWidth="1"/>
    <col min="3847" max="3847" width="8.1328125" style="4" bestFit="1" customWidth="1"/>
    <col min="3848" max="3848" width="8" style="4" customWidth="1"/>
    <col min="3849" max="3849" width="11.1328125" style="4" bestFit="1" customWidth="1"/>
    <col min="3850" max="3850" width="9.265625" style="4" bestFit="1" customWidth="1"/>
    <col min="3851" max="3851" width="7.265625" style="4" customWidth="1"/>
    <col min="3852" max="3852" width="11.1328125" style="4" bestFit="1" customWidth="1"/>
    <col min="3853" max="3853" width="8.73046875" style="4" customWidth="1"/>
    <col min="3854" max="3854" width="9" style="4" customWidth="1"/>
    <col min="3855" max="3855" width="11.1328125" style="4" bestFit="1" customWidth="1"/>
    <col min="3856" max="4096" width="9.1328125" style="4"/>
    <col min="4097" max="4097" width="9.3984375" style="4" bestFit="1" customWidth="1"/>
    <col min="4098" max="4098" width="10" style="4" bestFit="1" customWidth="1"/>
    <col min="4099" max="4099" width="9.1328125" style="4"/>
    <col min="4100" max="4100" width="11.73046875" style="4" bestFit="1" customWidth="1"/>
    <col min="4101" max="4101" width="9.59765625" style="4" customWidth="1"/>
    <col min="4102" max="4102" width="11.1328125" style="4" bestFit="1" customWidth="1"/>
    <col min="4103" max="4103" width="8.1328125" style="4" bestFit="1" customWidth="1"/>
    <col min="4104" max="4104" width="8" style="4" customWidth="1"/>
    <col min="4105" max="4105" width="11.1328125" style="4" bestFit="1" customWidth="1"/>
    <col min="4106" max="4106" width="9.265625" style="4" bestFit="1" customWidth="1"/>
    <col min="4107" max="4107" width="7.265625" style="4" customWidth="1"/>
    <col min="4108" max="4108" width="11.1328125" style="4" bestFit="1" customWidth="1"/>
    <col min="4109" max="4109" width="8.73046875" style="4" customWidth="1"/>
    <col min="4110" max="4110" width="9" style="4" customWidth="1"/>
    <col min="4111" max="4111" width="11.1328125" style="4" bestFit="1" customWidth="1"/>
    <col min="4112" max="4352" width="9.1328125" style="4"/>
    <col min="4353" max="4353" width="9.3984375" style="4" bestFit="1" customWidth="1"/>
    <col min="4354" max="4354" width="10" style="4" bestFit="1" customWidth="1"/>
    <col min="4355" max="4355" width="9.1328125" style="4"/>
    <col min="4356" max="4356" width="11.73046875" style="4" bestFit="1" customWidth="1"/>
    <col min="4357" max="4357" width="9.59765625" style="4" customWidth="1"/>
    <col min="4358" max="4358" width="11.1328125" style="4" bestFit="1" customWidth="1"/>
    <col min="4359" max="4359" width="8.1328125" style="4" bestFit="1" customWidth="1"/>
    <col min="4360" max="4360" width="8" style="4" customWidth="1"/>
    <col min="4361" max="4361" width="11.1328125" style="4" bestFit="1" customWidth="1"/>
    <col min="4362" max="4362" width="9.265625" style="4" bestFit="1" customWidth="1"/>
    <col min="4363" max="4363" width="7.265625" style="4" customWidth="1"/>
    <col min="4364" max="4364" width="11.1328125" style="4" bestFit="1" customWidth="1"/>
    <col min="4365" max="4365" width="8.73046875" style="4" customWidth="1"/>
    <col min="4366" max="4366" width="9" style="4" customWidth="1"/>
    <col min="4367" max="4367" width="11.1328125" style="4" bestFit="1" customWidth="1"/>
    <col min="4368" max="4608" width="9.1328125" style="4"/>
    <col min="4609" max="4609" width="9.3984375" style="4" bestFit="1" customWidth="1"/>
    <col min="4610" max="4610" width="10" style="4" bestFit="1" customWidth="1"/>
    <col min="4611" max="4611" width="9.1328125" style="4"/>
    <col min="4612" max="4612" width="11.73046875" style="4" bestFit="1" customWidth="1"/>
    <col min="4613" max="4613" width="9.59765625" style="4" customWidth="1"/>
    <col min="4614" max="4614" width="11.1328125" style="4" bestFit="1" customWidth="1"/>
    <col min="4615" max="4615" width="8.1328125" style="4" bestFit="1" customWidth="1"/>
    <col min="4616" max="4616" width="8" style="4" customWidth="1"/>
    <col min="4617" max="4617" width="11.1328125" style="4" bestFit="1" customWidth="1"/>
    <col min="4618" max="4618" width="9.265625" style="4" bestFit="1" customWidth="1"/>
    <col min="4619" max="4619" width="7.265625" style="4" customWidth="1"/>
    <col min="4620" max="4620" width="11.1328125" style="4" bestFit="1" customWidth="1"/>
    <col min="4621" max="4621" width="8.73046875" style="4" customWidth="1"/>
    <col min="4622" max="4622" width="9" style="4" customWidth="1"/>
    <col min="4623" max="4623" width="11.1328125" style="4" bestFit="1" customWidth="1"/>
    <col min="4624" max="4864" width="9.1328125" style="4"/>
    <col min="4865" max="4865" width="9.3984375" style="4" bestFit="1" customWidth="1"/>
    <col min="4866" max="4866" width="10" style="4" bestFit="1" customWidth="1"/>
    <col min="4867" max="4867" width="9.1328125" style="4"/>
    <col min="4868" max="4868" width="11.73046875" style="4" bestFit="1" customWidth="1"/>
    <col min="4869" max="4869" width="9.59765625" style="4" customWidth="1"/>
    <col min="4870" max="4870" width="11.1328125" style="4" bestFit="1" customWidth="1"/>
    <col min="4871" max="4871" width="8.1328125" style="4" bestFit="1" customWidth="1"/>
    <col min="4872" max="4872" width="8" style="4" customWidth="1"/>
    <col min="4873" max="4873" width="11.1328125" style="4" bestFit="1" customWidth="1"/>
    <col min="4874" max="4874" width="9.265625" style="4" bestFit="1" customWidth="1"/>
    <col min="4875" max="4875" width="7.265625" style="4" customWidth="1"/>
    <col min="4876" max="4876" width="11.1328125" style="4" bestFit="1" customWidth="1"/>
    <col min="4877" max="4877" width="8.73046875" style="4" customWidth="1"/>
    <col min="4878" max="4878" width="9" style="4" customWidth="1"/>
    <col min="4879" max="4879" width="11.1328125" style="4" bestFit="1" customWidth="1"/>
    <col min="4880" max="5120" width="9.1328125" style="4"/>
    <col min="5121" max="5121" width="9.3984375" style="4" bestFit="1" customWidth="1"/>
    <col min="5122" max="5122" width="10" style="4" bestFit="1" customWidth="1"/>
    <col min="5123" max="5123" width="9.1328125" style="4"/>
    <col min="5124" max="5124" width="11.73046875" style="4" bestFit="1" customWidth="1"/>
    <col min="5125" max="5125" width="9.59765625" style="4" customWidth="1"/>
    <col min="5126" max="5126" width="11.1328125" style="4" bestFit="1" customWidth="1"/>
    <col min="5127" max="5127" width="8.1328125" style="4" bestFit="1" customWidth="1"/>
    <col min="5128" max="5128" width="8" style="4" customWidth="1"/>
    <col min="5129" max="5129" width="11.1328125" style="4" bestFit="1" customWidth="1"/>
    <col min="5130" max="5130" width="9.265625" style="4" bestFit="1" customWidth="1"/>
    <col min="5131" max="5131" width="7.265625" style="4" customWidth="1"/>
    <col min="5132" max="5132" width="11.1328125" style="4" bestFit="1" customWidth="1"/>
    <col min="5133" max="5133" width="8.73046875" style="4" customWidth="1"/>
    <col min="5134" max="5134" width="9" style="4" customWidth="1"/>
    <col min="5135" max="5135" width="11.1328125" style="4" bestFit="1" customWidth="1"/>
    <col min="5136" max="5376" width="9.1328125" style="4"/>
    <col min="5377" max="5377" width="9.3984375" style="4" bestFit="1" customWidth="1"/>
    <col min="5378" max="5378" width="10" style="4" bestFit="1" customWidth="1"/>
    <col min="5379" max="5379" width="9.1328125" style="4"/>
    <col min="5380" max="5380" width="11.73046875" style="4" bestFit="1" customWidth="1"/>
    <col min="5381" max="5381" width="9.59765625" style="4" customWidth="1"/>
    <col min="5382" max="5382" width="11.1328125" style="4" bestFit="1" customWidth="1"/>
    <col min="5383" max="5383" width="8.1328125" style="4" bestFit="1" customWidth="1"/>
    <col min="5384" max="5384" width="8" style="4" customWidth="1"/>
    <col min="5385" max="5385" width="11.1328125" style="4" bestFit="1" customWidth="1"/>
    <col min="5386" max="5386" width="9.265625" style="4" bestFit="1" customWidth="1"/>
    <col min="5387" max="5387" width="7.265625" style="4" customWidth="1"/>
    <col min="5388" max="5388" width="11.1328125" style="4" bestFit="1" customWidth="1"/>
    <col min="5389" max="5389" width="8.73046875" style="4" customWidth="1"/>
    <col min="5390" max="5390" width="9" style="4" customWidth="1"/>
    <col min="5391" max="5391" width="11.1328125" style="4" bestFit="1" customWidth="1"/>
    <col min="5392" max="5632" width="9.1328125" style="4"/>
    <col min="5633" max="5633" width="9.3984375" style="4" bestFit="1" customWidth="1"/>
    <col min="5634" max="5634" width="10" style="4" bestFit="1" customWidth="1"/>
    <col min="5635" max="5635" width="9.1328125" style="4"/>
    <col min="5636" max="5636" width="11.73046875" style="4" bestFit="1" customWidth="1"/>
    <col min="5637" max="5637" width="9.59765625" style="4" customWidth="1"/>
    <col min="5638" max="5638" width="11.1328125" style="4" bestFit="1" customWidth="1"/>
    <col min="5639" max="5639" width="8.1328125" style="4" bestFit="1" customWidth="1"/>
    <col min="5640" max="5640" width="8" style="4" customWidth="1"/>
    <col min="5641" max="5641" width="11.1328125" style="4" bestFit="1" customWidth="1"/>
    <col min="5642" max="5642" width="9.265625" style="4" bestFit="1" customWidth="1"/>
    <col min="5643" max="5643" width="7.265625" style="4" customWidth="1"/>
    <col min="5644" max="5644" width="11.1328125" style="4" bestFit="1" customWidth="1"/>
    <col min="5645" max="5645" width="8.73046875" style="4" customWidth="1"/>
    <col min="5646" max="5646" width="9" style="4" customWidth="1"/>
    <col min="5647" max="5647" width="11.1328125" style="4" bestFit="1" customWidth="1"/>
    <col min="5648" max="5888" width="9.1328125" style="4"/>
    <col min="5889" max="5889" width="9.3984375" style="4" bestFit="1" customWidth="1"/>
    <col min="5890" max="5890" width="10" style="4" bestFit="1" customWidth="1"/>
    <col min="5891" max="5891" width="9.1328125" style="4"/>
    <col min="5892" max="5892" width="11.73046875" style="4" bestFit="1" customWidth="1"/>
    <col min="5893" max="5893" width="9.59765625" style="4" customWidth="1"/>
    <col min="5894" max="5894" width="11.1328125" style="4" bestFit="1" customWidth="1"/>
    <col min="5895" max="5895" width="8.1328125" style="4" bestFit="1" customWidth="1"/>
    <col min="5896" max="5896" width="8" style="4" customWidth="1"/>
    <col min="5897" max="5897" width="11.1328125" style="4" bestFit="1" customWidth="1"/>
    <col min="5898" max="5898" width="9.265625" style="4" bestFit="1" customWidth="1"/>
    <col min="5899" max="5899" width="7.265625" style="4" customWidth="1"/>
    <col min="5900" max="5900" width="11.1328125" style="4" bestFit="1" customWidth="1"/>
    <col min="5901" max="5901" width="8.73046875" style="4" customWidth="1"/>
    <col min="5902" max="5902" width="9" style="4" customWidth="1"/>
    <col min="5903" max="5903" width="11.1328125" style="4" bestFit="1" customWidth="1"/>
    <col min="5904" max="6144" width="9.1328125" style="4"/>
    <col min="6145" max="6145" width="9.3984375" style="4" bestFit="1" customWidth="1"/>
    <col min="6146" max="6146" width="10" style="4" bestFit="1" customWidth="1"/>
    <col min="6147" max="6147" width="9.1328125" style="4"/>
    <col min="6148" max="6148" width="11.73046875" style="4" bestFit="1" customWidth="1"/>
    <col min="6149" max="6149" width="9.59765625" style="4" customWidth="1"/>
    <col min="6150" max="6150" width="11.1328125" style="4" bestFit="1" customWidth="1"/>
    <col min="6151" max="6151" width="8.1328125" style="4" bestFit="1" customWidth="1"/>
    <col min="6152" max="6152" width="8" style="4" customWidth="1"/>
    <col min="6153" max="6153" width="11.1328125" style="4" bestFit="1" customWidth="1"/>
    <col min="6154" max="6154" width="9.265625" style="4" bestFit="1" customWidth="1"/>
    <col min="6155" max="6155" width="7.265625" style="4" customWidth="1"/>
    <col min="6156" max="6156" width="11.1328125" style="4" bestFit="1" customWidth="1"/>
    <col min="6157" max="6157" width="8.73046875" style="4" customWidth="1"/>
    <col min="6158" max="6158" width="9" style="4" customWidth="1"/>
    <col min="6159" max="6159" width="11.1328125" style="4" bestFit="1" customWidth="1"/>
    <col min="6160" max="6400" width="9.1328125" style="4"/>
    <col min="6401" max="6401" width="9.3984375" style="4" bestFit="1" customWidth="1"/>
    <col min="6402" max="6402" width="10" style="4" bestFit="1" customWidth="1"/>
    <col min="6403" max="6403" width="9.1328125" style="4"/>
    <col min="6404" max="6404" width="11.73046875" style="4" bestFit="1" customWidth="1"/>
    <col min="6405" max="6405" width="9.59765625" style="4" customWidth="1"/>
    <col min="6406" max="6406" width="11.1328125" style="4" bestFit="1" customWidth="1"/>
    <col min="6407" max="6407" width="8.1328125" style="4" bestFit="1" customWidth="1"/>
    <col min="6408" max="6408" width="8" style="4" customWidth="1"/>
    <col min="6409" max="6409" width="11.1328125" style="4" bestFit="1" customWidth="1"/>
    <col min="6410" max="6410" width="9.265625" style="4" bestFit="1" customWidth="1"/>
    <col min="6411" max="6411" width="7.265625" style="4" customWidth="1"/>
    <col min="6412" max="6412" width="11.1328125" style="4" bestFit="1" customWidth="1"/>
    <col min="6413" max="6413" width="8.73046875" style="4" customWidth="1"/>
    <col min="6414" max="6414" width="9" style="4" customWidth="1"/>
    <col min="6415" max="6415" width="11.1328125" style="4" bestFit="1" customWidth="1"/>
    <col min="6416" max="6656" width="9.1328125" style="4"/>
    <col min="6657" max="6657" width="9.3984375" style="4" bestFit="1" customWidth="1"/>
    <col min="6658" max="6658" width="10" style="4" bestFit="1" customWidth="1"/>
    <col min="6659" max="6659" width="9.1328125" style="4"/>
    <col min="6660" max="6660" width="11.73046875" style="4" bestFit="1" customWidth="1"/>
    <col min="6661" max="6661" width="9.59765625" style="4" customWidth="1"/>
    <col min="6662" max="6662" width="11.1328125" style="4" bestFit="1" customWidth="1"/>
    <col min="6663" max="6663" width="8.1328125" style="4" bestFit="1" customWidth="1"/>
    <col min="6664" max="6664" width="8" style="4" customWidth="1"/>
    <col min="6665" max="6665" width="11.1328125" style="4" bestFit="1" customWidth="1"/>
    <col min="6666" max="6666" width="9.265625" style="4" bestFit="1" customWidth="1"/>
    <col min="6667" max="6667" width="7.265625" style="4" customWidth="1"/>
    <col min="6668" max="6668" width="11.1328125" style="4" bestFit="1" customWidth="1"/>
    <col min="6669" max="6669" width="8.73046875" style="4" customWidth="1"/>
    <col min="6670" max="6670" width="9" style="4" customWidth="1"/>
    <col min="6671" max="6671" width="11.1328125" style="4" bestFit="1" customWidth="1"/>
    <col min="6672" max="6912" width="9.1328125" style="4"/>
    <col min="6913" max="6913" width="9.3984375" style="4" bestFit="1" customWidth="1"/>
    <col min="6914" max="6914" width="10" style="4" bestFit="1" customWidth="1"/>
    <col min="6915" max="6915" width="9.1328125" style="4"/>
    <col min="6916" max="6916" width="11.73046875" style="4" bestFit="1" customWidth="1"/>
    <col min="6917" max="6917" width="9.59765625" style="4" customWidth="1"/>
    <col min="6918" max="6918" width="11.1328125" style="4" bestFit="1" customWidth="1"/>
    <col min="6919" max="6919" width="8.1328125" style="4" bestFit="1" customWidth="1"/>
    <col min="6920" max="6920" width="8" style="4" customWidth="1"/>
    <col min="6921" max="6921" width="11.1328125" style="4" bestFit="1" customWidth="1"/>
    <col min="6922" max="6922" width="9.265625" style="4" bestFit="1" customWidth="1"/>
    <col min="6923" max="6923" width="7.265625" style="4" customWidth="1"/>
    <col min="6924" max="6924" width="11.1328125" style="4" bestFit="1" customWidth="1"/>
    <col min="6925" max="6925" width="8.73046875" style="4" customWidth="1"/>
    <col min="6926" max="6926" width="9" style="4" customWidth="1"/>
    <col min="6927" max="6927" width="11.1328125" style="4" bestFit="1" customWidth="1"/>
    <col min="6928" max="7168" width="9.1328125" style="4"/>
    <col min="7169" max="7169" width="9.3984375" style="4" bestFit="1" customWidth="1"/>
    <col min="7170" max="7170" width="10" style="4" bestFit="1" customWidth="1"/>
    <col min="7171" max="7171" width="9.1328125" style="4"/>
    <col min="7172" max="7172" width="11.73046875" style="4" bestFit="1" customWidth="1"/>
    <col min="7173" max="7173" width="9.59765625" style="4" customWidth="1"/>
    <col min="7174" max="7174" width="11.1328125" style="4" bestFit="1" customWidth="1"/>
    <col min="7175" max="7175" width="8.1328125" style="4" bestFit="1" customWidth="1"/>
    <col min="7176" max="7176" width="8" style="4" customWidth="1"/>
    <col min="7177" max="7177" width="11.1328125" style="4" bestFit="1" customWidth="1"/>
    <col min="7178" max="7178" width="9.265625" style="4" bestFit="1" customWidth="1"/>
    <col min="7179" max="7179" width="7.265625" style="4" customWidth="1"/>
    <col min="7180" max="7180" width="11.1328125" style="4" bestFit="1" customWidth="1"/>
    <col min="7181" max="7181" width="8.73046875" style="4" customWidth="1"/>
    <col min="7182" max="7182" width="9" style="4" customWidth="1"/>
    <col min="7183" max="7183" width="11.1328125" style="4" bestFit="1" customWidth="1"/>
    <col min="7184" max="7424" width="9.1328125" style="4"/>
    <col min="7425" max="7425" width="9.3984375" style="4" bestFit="1" customWidth="1"/>
    <col min="7426" max="7426" width="10" style="4" bestFit="1" customWidth="1"/>
    <col min="7427" max="7427" width="9.1328125" style="4"/>
    <col min="7428" max="7428" width="11.73046875" style="4" bestFit="1" customWidth="1"/>
    <col min="7429" max="7429" width="9.59765625" style="4" customWidth="1"/>
    <col min="7430" max="7430" width="11.1328125" style="4" bestFit="1" customWidth="1"/>
    <col min="7431" max="7431" width="8.1328125" style="4" bestFit="1" customWidth="1"/>
    <col min="7432" max="7432" width="8" style="4" customWidth="1"/>
    <col min="7433" max="7433" width="11.1328125" style="4" bestFit="1" customWidth="1"/>
    <col min="7434" max="7434" width="9.265625" style="4" bestFit="1" customWidth="1"/>
    <col min="7435" max="7435" width="7.265625" style="4" customWidth="1"/>
    <col min="7436" max="7436" width="11.1328125" style="4" bestFit="1" customWidth="1"/>
    <col min="7437" max="7437" width="8.73046875" style="4" customWidth="1"/>
    <col min="7438" max="7438" width="9" style="4" customWidth="1"/>
    <col min="7439" max="7439" width="11.1328125" style="4" bestFit="1" customWidth="1"/>
    <col min="7440" max="7680" width="9.1328125" style="4"/>
    <col min="7681" max="7681" width="9.3984375" style="4" bestFit="1" customWidth="1"/>
    <col min="7682" max="7682" width="10" style="4" bestFit="1" customWidth="1"/>
    <col min="7683" max="7683" width="9.1328125" style="4"/>
    <col min="7684" max="7684" width="11.73046875" style="4" bestFit="1" customWidth="1"/>
    <col min="7685" max="7685" width="9.59765625" style="4" customWidth="1"/>
    <col min="7686" max="7686" width="11.1328125" style="4" bestFit="1" customWidth="1"/>
    <col min="7687" max="7687" width="8.1328125" style="4" bestFit="1" customWidth="1"/>
    <col min="7688" max="7688" width="8" style="4" customWidth="1"/>
    <col min="7689" max="7689" width="11.1328125" style="4" bestFit="1" customWidth="1"/>
    <col min="7690" max="7690" width="9.265625" style="4" bestFit="1" customWidth="1"/>
    <col min="7691" max="7691" width="7.265625" style="4" customWidth="1"/>
    <col min="7692" max="7692" width="11.1328125" style="4" bestFit="1" customWidth="1"/>
    <col min="7693" max="7693" width="8.73046875" style="4" customWidth="1"/>
    <col min="7694" max="7694" width="9" style="4" customWidth="1"/>
    <col min="7695" max="7695" width="11.1328125" style="4" bestFit="1" customWidth="1"/>
    <col min="7696" max="7936" width="9.1328125" style="4"/>
    <col min="7937" max="7937" width="9.3984375" style="4" bestFit="1" customWidth="1"/>
    <col min="7938" max="7938" width="10" style="4" bestFit="1" customWidth="1"/>
    <col min="7939" max="7939" width="9.1328125" style="4"/>
    <col min="7940" max="7940" width="11.73046875" style="4" bestFit="1" customWidth="1"/>
    <col min="7941" max="7941" width="9.59765625" style="4" customWidth="1"/>
    <col min="7942" max="7942" width="11.1328125" style="4" bestFit="1" customWidth="1"/>
    <col min="7943" max="7943" width="8.1328125" style="4" bestFit="1" customWidth="1"/>
    <col min="7944" max="7944" width="8" style="4" customWidth="1"/>
    <col min="7945" max="7945" width="11.1328125" style="4" bestFit="1" customWidth="1"/>
    <col min="7946" max="7946" width="9.265625" style="4" bestFit="1" customWidth="1"/>
    <col min="7947" max="7947" width="7.265625" style="4" customWidth="1"/>
    <col min="7948" max="7948" width="11.1328125" style="4" bestFit="1" customWidth="1"/>
    <col min="7949" max="7949" width="8.73046875" style="4" customWidth="1"/>
    <col min="7950" max="7950" width="9" style="4" customWidth="1"/>
    <col min="7951" max="7951" width="11.1328125" style="4" bestFit="1" customWidth="1"/>
    <col min="7952" max="8192" width="9.1328125" style="4"/>
    <col min="8193" max="8193" width="9.3984375" style="4" bestFit="1" customWidth="1"/>
    <col min="8194" max="8194" width="10" style="4" bestFit="1" customWidth="1"/>
    <col min="8195" max="8195" width="9.1328125" style="4"/>
    <col min="8196" max="8196" width="11.73046875" style="4" bestFit="1" customWidth="1"/>
    <col min="8197" max="8197" width="9.59765625" style="4" customWidth="1"/>
    <col min="8198" max="8198" width="11.1328125" style="4" bestFit="1" customWidth="1"/>
    <col min="8199" max="8199" width="8.1328125" style="4" bestFit="1" customWidth="1"/>
    <col min="8200" max="8200" width="8" style="4" customWidth="1"/>
    <col min="8201" max="8201" width="11.1328125" style="4" bestFit="1" customWidth="1"/>
    <col min="8202" max="8202" width="9.265625" style="4" bestFit="1" customWidth="1"/>
    <col min="8203" max="8203" width="7.265625" style="4" customWidth="1"/>
    <col min="8204" max="8204" width="11.1328125" style="4" bestFit="1" customWidth="1"/>
    <col min="8205" max="8205" width="8.73046875" style="4" customWidth="1"/>
    <col min="8206" max="8206" width="9" style="4" customWidth="1"/>
    <col min="8207" max="8207" width="11.1328125" style="4" bestFit="1" customWidth="1"/>
    <col min="8208" max="8448" width="9.1328125" style="4"/>
    <col min="8449" max="8449" width="9.3984375" style="4" bestFit="1" customWidth="1"/>
    <col min="8450" max="8450" width="10" style="4" bestFit="1" customWidth="1"/>
    <col min="8451" max="8451" width="9.1328125" style="4"/>
    <col min="8452" max="8452" width="11.73046875" style="4" bestFit="1" customWidth="1"/>
    <col min="8453" max="8453" width="9.59765625" style="4" customWidth="1"/>
    <col min="8454" max="8454" width="11.1328125" style="4" bestFit="1" customWidth="1"/>
    <col min="8455" max="8455" width="8.1328125" style="4" bestFit="1" customWidth="1"/>
    <col min="8456" max="8456" width="8" style="4" customWidth="1"/>
    <col min="8457" max="8457" width="11.1328125" style="4" bestFit="1" customWidth="1"/>
    <col min="8458" max="8458" width="9.265625" style="4" bestFit="1" customWidth="1"/>
    <col min="8459" max="8459" width="7.265625" style="4" customWidth="1"/>
    <col min="8460" max="8460" width="11.1328125" style="4" bestFit="1" customWidth="1"/>
    <col min="8461" max="8461" width="8.73046875" style="4" customWidth="1"/>
    <col min="8462" max="8462" width="9" style="4" customWidth="1"/>
    <col min="8463" max="8463" width="11.1328125" style="4" bestFit="1" customWidth="1"/>
    <col min="8464" max="8704" width="9.1328125" style="4"/>
    <col min="8705" max="8705" width="9.3984375" style="4" bestFit="1" customWidth="1"/>
    <col min="8706" max="8706" width="10" style="4" bestFit="1" customWidth="1"/>
    <col min="8707" max="8707" width="9.1328125" style="4"/>
    <col min="8708" max="8708" width="11.73046875" style="4" bestFit="1" customWidth="1"/>
    <col min="8709" max="8709" width="9.59765625" style="4" customWidth="1"/>
    <col min="8710" max="8710" width="11.1328125" style="4" bestFit="1" customWidth="1"/>
    <col min="8711" max="8711" width="8.1328125" style="4" bestFit="1" customWidth="1"/>
    <col min="8712" max="8712" width="8" style="4" customWidth="1"/>
    <col min="8713" max="8713" width="11.1328125" style="4" bestFit="1" customWidth="1"/>
    <col min="8714" max="8714" width="9.265625" style="4" bestFit="1" customWidth="1"/>
    <col min="8715" max="8715" width="7.265625" style="4" customWidth="1"/>
    <col min="8716" max="8716" width="11.1328125" style="4" bestFit="1" customWidth="1"/>
    <col min="8717" max="8717" width="8.73046875" style="4" customWidth="1"/>
    <col min="8718" max="8718" width="9" style="4" customWidth="1"/>
    <col min="8719" max="8719" width="11.1328125" style="4" bestFit="1" customWidth="1"/>
    <col min="8720" max="8960" width="9.1328125" style="4"/>
    <col min="8961" max="8961" width="9.3984375" style="4" bestFit="1" customWidth="1"/>
    <col min="8962" max="8962" width="10" style="4" bestFit="1" customWidth="1"/>
    <col min="8963" max="8963" width="9.1328125" style="4"/>
    <col min="8964" max="8964" width="11.73046875" style="4" bestFit="1" customWidth="1"/>
    <col min="8965" max="8965" width="9.59765625" style="4" customWidth="1"/>
    <col min="8966" max="8966" width="11.1328125" style="4" bestFit="1" customWidth="1"/>
    <col min="8967" max="8967" width="8.1328125" style="4" bestFit="1" customWidth="1"/>
    <col min="8968" max="8968" width="8" style="4" customWidth="1"/>
    <col min="8969" max="8969" width="11.1328125" style="4" bestFit="1" customWidth="1"/>
    <col min="8970" max="8970" width="9.265625" style="4" bestFit="1" customWidth="1"/>
    <col min="8971" max="8971" width="7.265625" style="4" customWidth="1"/>
    <col min="8972" max="8972" width="11.1328125" style="4" bestFit="1" customWidth="1"/>
    <col min="8973" max="8973" width="8.73046875" style="4" customWidth="1"/>
    <col min="8974" max="8974" width="9" style="4" customWidth="1"/>
    <col min="8975" max="8975" width="11.1328125" style="4" bestFit="1" customWidth="1"/>
    <col min="8976" max="9216" width="9.1328125" style="4"/>
    <col min="9217" max="9217" width="9.3984375" style="4" bestFit="1" customWidth="1"/>
    <col min="9218" max="9218" width="10" style="4" bestFit="1" customWidth="1"/>
    <col min="9219" max="9219" width="9.1328125" style="4"/>
    <col min="9220" max="9220" width="11.73046875" style="4" bestFit="1" customWidth="1"/>
    <col min="9221" max="9221" width="9.59765625" style="4" customWidth="1"/>
    <col min="9222" max="9222" width="11.1328125" style="4" bestFit="1" customWidth="1"/>
    <col min="9223" max="9223" width="8.1328125" style="4" bestFit="1" customWidth="1"/>
    <col min="9224" max="9224" width="8" style="4" customWidth="1"/>
    <col min="9225" max="9225" width="11.1328125" style="4" bestFit="1" customWidth="1"/>
    <col min="9226" max="9226" width="9.265625" style="4" bestFit="1" customWidth="1"/>
    <col min="9227" max="9227" width="7.265625" style="4" customWidth="1"/>
    <col min="9228" max="9228" width="11.1328125" style="4" bestFit="1" customWidth="1"/>
    <col min="9229" max="9229" width="8.73046875" style="4" customWidth="1"/>
    <col min="9230" max="9230" width="9" style="4" customWidth="1"/>
    <col min="9231" max="9231" width="11.1328125" style="4" bestFit="1" customWidth="1"/>
    <col min="9232" max="9472" width="9.1328125" style="4"/>
    <col min="9473" max="9473" width="9.3984375" style="4" bestFit="1" customWidth="1"/>
    <col min="9474" max="9474" width="10" style="4" bestFit="1" customWidth="1"/>
    <col min="9475" max="9475" width="9.1328125" style="4"/>
    <col min="9476" max="9476" width="11.73046875" style="4" bestFit="1" customWidth="1"/>
    <col min="9477" max="9477" width="9.59765625" style="4" customWidth="1"/>
    <col min="9478" max="9478" width="11.1328125" style="4" bestFit="1" customWidth="1"/>
    <col min="9479" max="9479" width="8.1328125" style="4" bestFit="1" customWidth="1"/>
    <col min="9480" max="9480" width="8" style="4" customWidth="1"/>
    <col min="9481" max="9481" width="11.1328125" style="4" bestFit="1" customWidth="1"/>
    <col min="9482" max="9482" width="9.265625" style="4" bestFit="1" customWidth="1"/>
    <col min="9483" max="9483" width="7.265625" style="4" customWidth="1"/>
    <col min="9484" max="9484" width="11.1328125" style="4" bestFit="1" customWidth="1"/>
    <col min="9485" max="9485" width="8.73046875" style="4" customWidth="1"/>
    <col min="9486" max="9486" width="9" style="4" customWidth="1"/>
    <col min="9487" max="9487" width="11.1328125" style="4" bestFit="1" customWidth="1"/>
    <col min="9488" max="9728" width="9.1328125" style="4"/>
    <col min="9729" max="9729" width="9.3984375" style="4" bestFit="1" customWidth="1"/>
    <col min="9730" max="9730" width="10" style="4" bestFit="1" customWidth="1"/>
    <col min="9731" max="9731" width="9.1328125" style="4"/>
    <col min="9732" max="9732" width="11.73046875" style="4" bestFit="1" customWidth="1"/>
    <col min="9733" max="9733" width="9.59765625" style="4" customWidth="1"/>
    <col min="9734" max="9734" width="11.1328125" style="4" bestFit="1" customWidth="1"/>
    <col min="9735" max="9735" width="8.1328125" style="4" bestFit="1" customWidth="1"/>
    <col min="9736" max="9736" width="8" style="4" customWidth="1"/>
    <col min="9737" max="9737" width="11.1328125" style="4" bestFit="1" customWidth="1"/>
    <col min="9738" max="9738" width="9.265625" style="4" bestFit="1" customWidth="1"/>
    <col min="9739" max="9739" width="7.265625" style="4" customWidth="1"/>
    <col min="9740" max="9740" width="11.1328125" style="4" bestFit="1" customWidth="1"/>
    <col min="9741" max="9741" width="8.73046875" style="4" customWidth="1"/>
    <col min="9742" max="9742" width="9" style="4" customWidth="1"/>
    <col min="9743" max="9743" width="11.1328125" style="4" bestFit="1" customWidth="1"/>
    <col min="9744" max="9984" width="9.1328125" style="4"/>
    <col min="9985" max="9985" width="9.3984375" style="4" bestFit="1" customWidth="1"/>
    <col min="9986" max="9986" width="10" style="4" bestFit="1" customWidth="1"/>
    <col min="9987" max="9987" width="9.1328125" style="4"/>
    <col min="9988" max="9988" width="11.73046875" style="4" bestFit="1" customWidth="1"/>
    <col min="9989" max="9989" width="9.59765625" style="4" customWidth="1"/>
    <col min="9990" max="9990" width="11.1328125" style="4" bestFit="1" customWidth="1"/>
    <col min="9991" max="9991" width="8.1328125" style="4" bestFit="1" customWidth="1"/>
    <col min="9992" max="9992" width="8" style="4" customWidth="1"/>
    <col min="9993" max="9993" width="11.1328125" style="4" bestFit="1" customWidth="1"/>
    <col min="9994" max="9994" width="9.265625" style="4" bestFit="1" customWidth="1"/>
    <col min="9995" max="9995" width="7.265625" style="4" customWidth="1"/>
    <col min="9996" max="9996" width="11.1328125" style="4" bestFit="1" customWidth="1"/>
    <col min="9997" max="9997" width="8.73046875" style="4" customWidth="1"/>
    <col min="9998" max="9998" width="9" style="4" customWidth="1"/>
    <col min="9999" max="9999" width="11.1328125" style="4" bestFit="1" customWidth="1"/>
    <col min="10000" max="10240" width="9.1328125" style="4"/>
    <col min="10241" max="10241" width="9.3984375" style="4" bestFit="1" customWidth="1"/>
    <col min="10242" max="10242" width="10" style="4" bestFit="1" customWidth="1"/>
    <col min="10243" max="10243" width="9.1328125" style="4"/>
    <col min="10244" max="10244" width="11.73046875" style="4" bestFit="1" customWidth="1"/>
    <col min="10245" max="10245" width="9.59765625" style="4" customWidth="1"/>
    <col min="10246" max="10246" width="11.1328125" style="4" bestFit="1" customWidth="1"/>
    <col min="10247" max="10247" width="8.1328125" style="4" bestFit="1" customWidth="1"/>
    <col min="10248" max="10248" width="8" style="4" customWidth="1"/>
    <col min="10249" max="10249" width="11.1328125" style="4" bestFit="1" customWidth="1"/>
    <col min="10250" max="10250" width="9.265625" style="4" bestFit="1" customWidth="1"/>
    <col min="10251" max="10251" width="7.265625" style="4" customWidth="1"/>
    <col min="10252" max="10252" width="11.1328125" style="4" bestFit="1" customWidth="1"/>
    <col min="10253" max="10253" width="8.73046875" style="4" customWidth="1"/>
    <col min="10254" max="10254" width="9" style="4" customWidth="1"/>
    <col min="10255" max="10255" width="11.1328125" style="4" bestFit="1" customWidth="1"/>
    <col min="10256" max="10496" width="9.1328125" style="4"/>
    <col min="10497" max="10497" width="9.3984375" style="4" bestFit="1" customWidth="1"/>
    <col min="10498" max="10498" width="10" style="4" bestFit="1" customWidth="1"/>
    <col min="10499" max="10499" width="9.1328125" style="4"/>
    <col min="10500" max="10500" width="11.73046875" style="4" bestFit="1" customWidth="1"/>
    <col min="10501" max="10501" width="9.59765625" style="4" customWidth="1"/>
    <col min="10502" max="10502" width="11.1328125" style="4" bestFit="1" customWidth="1"/>
    <col min="10503" max="10503" width="8.1328125" style="4" bestFit="1" customWidth="1"/>
    <col min="10504" max="10504" width="8" style="4" customWidth="1"/>
    <col min="10505" max="10505" width="11.1328125" style="4" bestFit="1" customWidth="1"/>
    <col min="10506" max="10506" width="9.265625" style="4" bestFit="1" customWidth="1"/>
    <col min="10507" max="10507" width="7.265625" style="4" customWidth="1"/>
    <col min="10508" max="10508" width="11.1328125" style="4" bestFit="1" customWidth="1"/>
    <col min="10509" max="10509" width="8.73046875" style="4" customWidth="1"/>
    <col min="10510" max="10510" width="9" style="4" customWidth="1"/>
    <col min="10511" max="10511" width="11.1328125" style="4" bestFit="1" customWidth="1"/>
    <col min="10512" max="10752" width="9.1328125" style="4"/>
    <col min="10753" max="10753" width="9.3984375" style="4" bestFit="1" customWidth="1"/>
    <col min="10754" max="10754" width="10" style="4" bestFit="1" customWidth="1"/>
    <col min="10755" max="10755" width="9.1328125" style="4"/>
    <col min="10756" max="10756" width="11.73046875" style="4" bestFit="1" customWidth="1"/>
    <col min="10757" max="10757" width="9.59765625" style="4" customWidth="1"/>
    <col min="10758" max="10758" width="11.1328125" style="4" bestFit="1" customWidth="1"/>
    <col min="10759" max="10759" width="8.1328125" style="4" bestFit="1" customWidth="1"/>
    <col min="10760" max="10760" width="8" style="4" customWidth="1"/>
    <col min="10761" max="10761" width="11.1328125" style="4" bestFit="1" customWidth="1"/>
    <col min="10762" max="10762" width="9.265625" style="4" bestFit="1" customWidth="1"/>
    <col min="10763" max="10763" width="7.265625" style="4" customWidth="1"/>
    <col min="10764" max="10764" width="11.1328125" style="4" bestFit="1" customWidth="1"/>
    <col min="10765" max="10765" width="8.73046875" style="4" customWidth="1"/>
    <col min="10766" max="10766" width="9" style="4" customWidth="1"/>
    <col min="10767" max="10767" width="11.1328125" style="4" bestFit="1" customWidth="1"/>
    <col min="10768" max="11008" width="9.1328125" style="4"/>
    <col min="11009" max="11009" width="9.3984375" style="4" bestFit="1" customWidth="1"/>
    <col min="11010" max="11010" width="10" style="4" bestFit="1" customWidth="1"/>
    <col min="11011" max="11011" width="9.1328125" style="4"/>
    <col min="11012" max="11012" width="11.73046875" style="4" bestFit="1" customWidth="1"/>
    <col min="11013" max="11013" width="9.59765625" style="4" customWidth="1"/>
    <col min="11014" max="11014" width="11.1328125" style="4" bestFit="1" customWidth="1"/>
    <col min="11015" max="11015" width="8.1328125" style="4" bestFit="1" customWidth="1"/>
    <col min="11016" max="11016" width="8" style="4" customWidth="1"/>
    <col min="11017" max="11017" width="11.1328125" style="4" bestFit="1" customWidth="1"/>
    <col min="11018" max="11018" width="9.265625" style="4" bestFit="1" customWidth="1"/>
    <col min="11019" max="11019" width="7.265625" style="4" customWidth="1"/>
    <col min="11020" max="11020" width="11.1328125" style="4" bestFit="1" customWidth="1"/>
    <col min="11021" max="11021" width="8.73046875" style="4" customWidth="1"/>
    <col min="11022" max="11022" width="9" style="4" customWidth="1"/>
    <col min="11023" max="11023" width="11.1328125" style="4" bestFit="1" customWidth="1"/>
    <col min="11024" max="11264" width="9.1328125" style="4"/>
    <col min="11265" max="11265" width="9.3984375" style="4" bestFit="1" customWidth="1"/>
    <col min="11266" max="11266" width="10" style="4" bestFit="1" customWidth="1"/>
    <col min="11267" max="11267" width="9.1328125" style="4"/>
    <col min="11268" max="11268" width="11.73046875" style="4" bestFit="1" customWidth="1"/>
    <col min="11269" max="11269" width="9.59765625" style="4" customWidth="1"/>
    <col min="11270" max="11270" width="11.1328125" style="4" bestFit="1" customWidth="1"/>
    <col min="11271" max="11271" width="8.1328125" style="4" bestFit="1" customWidth="1"/>
    <col min="11272" max="11272" width="8" style="4" customWidth="1"/>
    <col min="11273" max="11273" width="11.1328125" style="4" bestFit="1" customWidth="1"/>
    <col min="11274" max="11274" width="9.265625" style="4" bestFit="1" customWidth="1"/>
    <col min="11275" max="11275" width="7.265625" style="4" customWidth="1"/>
    <col min="11276" max="11276" width="11.1328125" style="4" bestFit="1" customWidth="1"/>
    <col min="11277" max="11277" width="8.73046875" style="4" customWidth="1"/>
    <col min="11278" max="11278" width="9" style="4" customWidth="1"/>
    <col min="11279" max="11279" width="11.1328125" style="4" bestFit="1" customWidth="1"/>
    <col min="11280" max="11520" width="9.1328125" style="4"/>
    <col min="11521" max="11521" width="9.3984375" style="4" bestFit="1" customWidth="1"/>
    <col min="11522" max="11522" width="10" style="4" bestFit="1" customWidth="1"/>
    <col min="11523" max="11523" width="9.1328125" style="4"/>
    <col min="11524" max="11524" width="11.73046875" style="4" bestFit="1" customWidth="1"/>
    <col min="11525" max="11525" width="9.59765625" style="4" customWidth="1"/>
    <col min="11526" max="11526" width="11.1328125" style="4" bestFit="1" customWidth="1"/>
    <col min="11527" max="11527" width="8.1328125" style="4" bestFit="1" customWidth="1"/>
    <col min="11528" max="11528" width="8" style="4" customWidth="1"/>
    <col min="11529" max="11529" width="11.1328125" style="4" bestFit="1" customWidth="1"/>
    <col min="11530" max="11530" width="9.265625" style="4" bestFit="1" customWidth="1"/>
    <col min="11531" max="11531" width="7.265625" style="4" customWidth="1"/>
    <col min="11532" max="11532" width="11.1328125" style="4" bestFit="1" customWidth="1"/>
    <col min="11533" max="11533" width="8.73046875" style="4" customWidth="1"/>
    <col min="11534" max="11534" width="9" style="4" customWidth="1"/>
    <col min="11535" max="11535" width="11.1328125" style="4" bestFit="1" customWidth="1"/>
    <col min="11536" max="11776" width="9.1328125" style="4"/>
    <col min="11777" max="11777" width="9.3984375" style="4" bestFit="1" customWidth="1"/>
    <col min="11778" max="11778" width="10" style="4" bestFit="1" customWidth="1"/>
    <col min="11779" max="11779" width="9.1328125" style="4"/>
    <col min="11780" max="11780" width="11.73046875" style="4" bestFit="1" customWidth="1"/>
    <col min="11781" max="11781" width="9.59765625" style="4" customWidth="1"/>
    <col min="11782" max="11782" width="11.1328125" style="4" bestFit="1" customWidth="1"/>
    <col min="11783" max="11783" width="8.1328125" style="4" bestFit="1" customWidth="1"/>
    <col min="11784" max="11784" width="8" style="4" customWidth="1"/>
    <col min="11785" max="11785" width="11.1328125" style="4" bestFit="1" customWidth="1"/>
    <col min="11786" max="11786" width="9.265625" style="4" bestFit="1" customWidth="1"/>
    <col min="11787" max="11787" width="7.265625" style="4" customWidth="1"/>
    <col min="11788" max="11788" width="11.1328125" style="4" bestFit="1" customWidth="1"/>
    <col min="11789" max="11789" width="8.73046875" style="4" customWidth="1"/>
    <col min="11790" max="11790" width="9" style="4" customWidth="1"/>
    <col min="11791" max="11791" width="11.1328125" style="4" bestFit="1" customWidth="1"/>
    <col min="11792" max="12032" width="9.1328125" style="4"/>
    <col min="12033" max="12033" width="9.3984375" style="4" bestFit="1" customWidth="1"/>
    <col min="12034" max="12034" width="10" style="4" bestFit="1" customWidth="1"/>
    <col min="12035" max="12035" width="9.1328125" style="4"/>
    <col min="12036" max="12036" width="11.73046875" style="4" bestFit="1" customWidth="1"/>
    <col min="12037" max="12037" width="9.59765625" style="4" customWidth="1"/>
    <col min="12038" max="12038" width="11.1328125" style="4" bestFit="1" customWidth="1"/>
    <col min="12039" max="12039" width="8.1328125" style="4" bestFit="1" customWidth="1"/>
    <col min="12040" max="12040" width="8" style="4" customWidth="1"/>
    <col min="12041" max="12041" width="11.1328125" style="4" bestFit="1" customWidth="1"/>
    <col min="12042" max="12042" width="9.265625" style="4" bestFit="1" customWidth="1"/>
    <col min="12043" max="12043" width="7.265625" style="4" customWidth="1"/>
    <col min="12044" max="12044" width="11.1328125" style="4" bestFit="1" customWidth="1"/>
    <col min="12045" max="12045" width="8.73046875" style="4" customWidth="1"/>
    <col min="12046" max="12046" width="9" style="4" customWidth="1"/>
    <col min="12047" max="12047" width="11.1328125" style="4" bestFit="1" customWidth="1"/>
    <col min="12048" max="12288" width="9.1328125" style="4"/>
    <col min="12289" max="12289" width="9.3984375" style="4" bestFit="1" customWidth="1"/>
    <col min="12290" max="12290" width="10" style="4" bestFit="1" customWidth="1"/>
    <col min="12291" max="12291" width="9.1328125" style="4"/>
    <col min="12292" max="12292" width="11.73046875" style="4" bestFit="1" customWidth="1"/>
    <col min="12293" max="12293" width="9.59765625" style="4" customWidth="1"/>
    <col min="12294" max="12294" width="11.1328125" style="4" bestFit="1" customWidth="1"/>
    <col min="12295" max="12295" width="8.1328125" style="4" bestFit="1" customWidth="1"/>
    <col min="12296" max="12296" width="8" style="4" customWidth="1"/>
    <col min="12297" max="12297" width="11.1328125" style="4" bestFit="1" customWidth="1"/>
    <col min="12298" max="12298" width="9.265625" style="4" bestFit="1" customWidth="1"/>
    <col min="12299" max="12299" width="7.265625" style="4" customWidth="1"/>
    <col min="12300" max="12300" width="11.1328125" style="4" bestFit="1" customWidth="1"/>
    <col min="12301" max="12301" width="8.73046875" style="4" customWidth="1"/>
    <col min="12302" max="12302" width="9" style="4" customWidth="1"/>
    <col min="12303" max="12303" width="11.1328125" style="4" bestFit="1" customWidth="1"/>
    <col min="12304" max="12544" width="9.1328125" style="4"/>
    <col min="12545" max="12545" width="9.3984375" style="4" bestFit="1" customWidth="1"/>
    <col min="12546" max="12546" width="10" style="4" bestFit="1" customWidth="1"/>
    <col min="12547" max="12547" width="9.1328125" style="4"/>
    <col min="12548" max="12548" width="11.73046875" style="4" bestFit="1" customWidth="1"/>
    <col min="12549" max="12549" width="9.59765625" style="4" customWidth="1"/>
    <col min="12550" max="12550" width="11.1328125" style="4" bestFit="1" customWidth="1"/>
    <col min="12551" max="12551" width="8.1328125" style="4" bestFit="1" customWidth="1"/>
    <col min="12552" max="12552" width="8" style="4" customWidth="1"/>
    <col min="12553" max="12553" width="11.1328125" style="4" bestFit="1" customWidth="1"/>
    <col min="12554" max="12554" width="9.265625" style="4" bestFit="1" customWidth="1"/>
    <col min="12555" max="12555" width="7.265625" style="4" customWidth="1"/>
    <col min="12556" max="12556" width="11.1328125" style="4" bestFit="1" customWidth="1"/>
    <col min="12557" max="12557" width="8.73046875" style="4" customWidth="1"/>
    <col min="12558" max="12558" width="9" style="4" customWidth="1"/>
    <col min="12559" max="12559" width="11.1328125" style="4" bestFit="1" customWidth="1"/>
    <col min="12560" max="12800" width="9.1328125" style="4"/>
    <col min="12801" max="12801" width="9.3984375" style="4" bestFit="1" customWidth="1"/>
    <col min="12802" max="12802" width="10" style="4" bestFit="1" customWidth="1"/>
    <col min="12803" max="12803" width="9.1328125" style="4"/>
    <col min="12804" max="12804" width="11.73046875" style="4" bestFit="1" customWidth="1"/>
    <col min="12805" max="12805" width="9.59765625" style="4" customWidth="1"/>
    <col min="12806" max="12806" width="11.1328125" style="4" bestFit="1" customWidth="1"/>
    <col min="12807" max="12807" width="8.1328125" style="4" bestFit="1" customWidth="1"/>
    <col min="12808" max="12808" width="8" style="4" customWidth="1"/>
    <col min="12809" max="12809" width="11.1328125" style="4" bestFit="1" customWidth="1"/>
    <col min="12810" max="12810" width="9.265625" style="4" bestFit="1" customWidth="1"/>
    <col min="12811" max="12811" width="7.265625" style="4" customWidth="1"/>
    <col min="12812" max="12812" width="11.1328125" style="4" bestFit="1" customWidth="1"/>
    <col min="12813" max="12813" width="8.73046875" style="4" customWidth="1"/>
    <col min="12814" max="12814" width="9" style="4" customWidth="1"/>
    <col min="12815" max="12815" width="11.1328125" style="4" bestFit="1" customWidth="1"/>
    <col min="12816" max="13056" width="9.1328125" style="4"/>
    <col min="13057" max="13057" width="9.3984375" style="4" bestFit="1" customWidth="1"/>
    <col min="13058" max="13058" width="10" style="4" bestFit="1" customWidth="1"/>
    <col min="13059" max="13059" width="9.1328125" style="4"/>
    <col min="13060" max="13060" width="11.73046875" style="4" bestFit="1" customWidth="1"/>
    <col min="13061" max="13061" width="9.59765625" style="4" customWidth="1"/>
    <col min="13062" max="13062" width="11.1328125" style="4" bestFit="1" customWidth="1"/>
    <col min="13063" max="13063" width="8.1328125" style="4" bestFit="1" customWidth="1"/>
    <col min="13064" max="13064" width="8" style="4" customWidth="1"/>
    <col min="13065" max="13065" width="11.1328125" style="4" bestFit="1" customWidth="1"/>
    <col min="13066" max="13066" width="9.265625" style="4" bestFit="1" customWidth="1"/>
    <col min="13067" max="13067" width="7.265625" style="4" customWidth="1"/>
    <col min="13068" max="13068" width="11.1328125" style="4" bestFit="1" customWidth="1"/>
    <col min="13069" max="13069" width="8.73046875" style="4" customWidth="1"/>
    <col min="13070" max="13070" width="9" style="4" customWidth="1"/>
    <col min="13071" max="13071" width="11.1328125" style="4" bestFit="1" customWidth="1"/>
    <col min="13072" max="13312" width="9.1328125" style="4"/>
    <col min="13313" max="13313" width="9.3984375" style="4" bestFit="1" customWidth="1"/>
    <col min="13314" max="13314" width="10" style="4" bestFit="1" customWidth="1"/>
    <col min="13315" max="13315" width="9.1328125" style="4"/>
    <col min="13316" max="13316" width="11.73046875" style="4" bestFit="1" customWidth="1"/>
    <col min="13317" max="13317" width="9.59765625" style="4" customWidth="1"/>
    <col min="13318" max="13318" width="11.1328125" style="4" bestFit="1" customWidth="1"/>
    <col min="13319" max="13319" width="8.1328125" style="4" bestFit="1" customWidth="1"/>
    <col min="13320" max="13320" width="8" style="4" customWidth="1"/>
    <col min="13321" max="13321" width="11.1328125" style="4" bestFit="1" customWidth="1"/>
    <col min="13322" max="13322" width="9.265625" style="4" bestFit="1" customWidth="1"/>
    <col min="13323" max="13323" width="7.265625" style="4" customWidth="1"/>
    <col min="13324" max="13324" width="11.1328125" style="4" bestFit="1" customWidth="1"/>
    <col min="13325" max="13325" width="8.73046875" style="4" customWidth="1"/>
    <col min="13326" max="13326" width="9" style="4" customWidth="1"/>
    <col min="13327" max="13327" width="11.1328125" style="4" bestFit="1" customWidth="1"/>
    <col min="13328" max="13568" width="9.1328125" style="4"/>
    <col min="13569" max="13569" width="9.3984375" style="4" bestFit="1" customWidth="1"/>
    <col min="13570" max="13570" width="10" style="4" bestFit="1" customWidth="1"/>
    <col min="13571" max="13571" width="9.1328125" style="4"/>
    <col min="13572" max="13572" width="11.73046875" style="4" bestFit="1" customWidth="1"/>
    <col min="13573" max="13573" width="9.59765625" style="4" customWidth="1"/>
    <col min="13574" max="13574" width="11.1328125" style="4" bestFit="1" customWidth="1"/>
    <col min="13575" max="13575" width="8.1328125" style="4" bestFit="1" customWidth="1"/>
    <col min="13576" max="13576" width="8" style="4" customWidth="1"/>
    <col min="13577" max="13577" width="11.1328125" style="4" bestFit="1" customWidth="1"/>
    <col min="13578" max="13578" width="9.265625" style="4" bestFit="1" customWidth="1"/>
    <col min="13579" max="13579" width="7.265625" style="4" customWidth="1"/>
    <col min="13580" max="13580" width="11.1328125" style="4" bestFit="1" customWidth="1"/>
    <col min="13581" max="13581" width="8.73046875" style="4" customWidth="1"/>
    <col min="13582" max="13582" width="9" style="4" customWidth="1"/>
    <col min="13583" max="13583" width="11.1328125" style="4" bestFit="1" customWidth="1"/>
    <col min="13584" max="13824" width="9.1328125" style="4"/>
    <col min="13825" max="13825" width="9.3984375" style="4" bestFit="1" customWidth="1"/>
    <col min="13826" max="13826" width="10" style="4" bestFit="1" customWidth="1"/>
    <col min="13827" max="13827" width="9.1328125" style="4"/>
    <col min="13828" max="13828" width="11.73046875" style="4" bestFit="1" customWidth="1"/>
    <col min="13829" max="13829" width="9.59765625" style="4" customWidth="1"/>
    <col min="13830" max="13830" width="11.1328125" style="4" bestFit="1" customWidth="1"/>
    <col min="13831" max="13831" width="8.1328125" style="4" bestFit="1" customWidth="1"/>
    <col min="13832" max="13832" width="8" style="4" customWidth="1"/>
    <col min="13833" max="13833" width="11.1328125" style="4" bestFit="1" customWidth="1"/>
    <col min="13834" max="13834" width="9.265625" style="4" bestFit="1" customWidth="1"/>
    <col min="13835" max="13835" width="7.265625" style="4" customWidth="1"/>
    <col min="13836" max="13836" width="11.1328125" style="4" bestFit="1" customWidth="1"/>
    <col min="13837" max="13837" width="8.73046875" style="4" customWidth="1"/>
    <col min="13838" max="13838" width="9" style="4" customWidth="1"/>
    <col min="13839" max="13839" width="11.1328125" style="4" bestFit="1" customWidth="1"/>
    <col min="13840" max="14080" width="9.1328125" style="4"/>
    <col min="14081" max="14081" width="9.3984375" style="4" bestFit="1" customWidth="1"/>
    <col min="14082" max="14082" width="10" style="4" bestFit="1" customWidth="1"/>
    <col min="14083" max="14083" width="9.1328125" style="4"/>
    <col min="14084" max="14084" width="11.73046875" style="4" bestFit="1" customWidth="1"/>
    <col min="14085" max="14085" width="9.59765625" style="4" customWidth="1"/>
    <col min="14086" max="14086" width="11.1328125" style="4" bestFit="1" customWidth="1"/>
    <col min="14087" max="14087" width="8.1328125" style="4" bestFit="1" customWidth="1"/>
    <col min="14088" max="14088" width="8" style="4" customWidth="1"/>
    <col min="14089" max="14089" width="11.1328125" style="4" bestFit="1" customWidth="1"/>
    <col min="14090" max="14090" width="9.265625" style="4" bestFit="1" customWidth="1"/>
    <col min="14091" max="14091" width="7.265625" style="4" customWidth="1"/>
    <col min="14092" max="14092" width="11.1328125" style="4" bestFit="1" customWidth="1"/>
    <col min="14093" max="14093" width="8.73046875" style="4" customWidth="1"/>
    <col min="14094" max="14094" width="9" style="4" customWidth="1"/>
    <col min="14095" max="14095" width="11.1328125" style="4" bestFit="1" customWidth="1"/>
    <col min="14096" max="14336" width="9.1328125" style="4"/>
    <col min="14337" max="14337" width="9.3984375" style="4" bestFit="1" customWidth="1"/>
    <col min="14338" max="14338" width="10" style="4" bestFit="1" customWidth="1"/>
    <col min="14339" max="14339" width="9.1328125" style="4"/>
    <col min="14340" max="14340" width="11.73046875" style="4" bestFit="1" customWidth="1"/>
    <col min="14341" max="14341" width="9.59765625" style="4" customWidth="1"/>
    <col min="14342" max="14342" width="11.1328125" style="4" bestFit="1" customWidth="1"/>
    <col min="14343" max="14343" width="8.1328125" style="4" bestFit="1" customWidth="1"/>
    <col min="14344" max="14344" width="8" style="4" customWidth="1"/>
    <col min="14345" max="14345" width="11.1328125" style="4" bestFit="1" customWidth="1"/>
    <col min="14346" max="14346" width="9.265625" style="4" bestFit="1" customWidth="1"/>
    <col min="14347" max="14347" width="7.265625" style="4" customWidth="1"/>
    <col min="14348" max="14348" width="11.1328125" style="4" bestFit="1" customWidth="1"/>
    <col min="14349" max="14349" width="8.73046875" style="4" customWidth="1"/>
    <col min="14350" max="14350" width="9" style="4" customWidth="1"/>
    <col min="14351" max="14351" width="11.1328125" style="4" bestFit="1" customWidth="1"/>
    <col min="14352" max="14592" width="9.1328125" style="4"/>
    <col min="14593" max="14593" width="9.3984375" style="4" bestFit="1" customWidth="1"/>
    <col min="14594" max="14594" width="10" style="4" bestFit="1" customWidth="1"/>
    <col min="14595" max="14595" width="9.1328125" style="4"/>
    <col min="14596" max="14596" width="11.73046875" style="4" bestFit="1" customWidth="1"/>
    <col min="14597" max="14597" width="9.59765625" style="4" customWidth="1"/>
    <col min="14598" max="14598" width="11.1328125" style="4" bestFit="1" customWidth="1"/>
    <col min="14599" max="14599" width="8.1328125" style="4" bestFit="1" customWidth="1"/>
    <col min="14600" max="14600" width="8" style="4" customWidth="1"/>
    <col min="14601" max="14601" width="11.1328125" style="4" bestFit="1" customWidth="1"/>
    <col min="14602" max="14602" width="9.265625" style="4" bestFit="1" customWidth="1"/>
    <col min="14603" max="14603" width="7.265625" style="4" customWidth="1"/>
    <col min="14604" max="14604" width="11.1328125" style="4" bestFit="1" customWidth="1"/>
    <col min="14605" max="14605" width="8.73046875" style="4" customWidth="1"/>
    <col min="14606" max="14606" width="9" style="4" customWidth="1"/>
    <col min="14607" max="14607" width="11.1328125" style="4" bestFit="1" customWidth="1"/>
    <col min="14608" max="14848" width="9.1328125" style="4"/>
    <col min="14849" max="14849" width="9.3984375" style="4" bestFit="1" customWidth="1"/>
    <col min="14850" max="14850" width="10" style="4" bestFit="1" customWidth="1"/>
    <col min="14851" max="14851" width="9.1328125" style="4"/>
    <col min="14852" max="14852" width="11.73046875" style="4" bestFit="1" customWidth="1"/>
    <col min="14853" max="14853" width="9.59765625" style="4" customWidth="1"/>
    <col min="14854" max="14854" width="11.1328125" style="4" bestFit="1" customWidth="1"/>
    <col min="14855" max="14855" width="8.1328125" style="4" bestFit="1" customWidth="1"/>
    <col min="14856" max="14856" width="8" style="4" customWidth="1"/>
    <col min="14857" max="14857" width="11.1328125" style="4" bestFit="1" customWidth="1"/>
    <col min="14858" max="14858" width="9.265625" style="4" bestFit="1" customWidth="1"/>
    <col min="14859" max="14859" width="7.265625" style="4" customWidth="1"/>
    <col min="14860" max="14860" width="11.1328125" style="4" bestFit="1" customWidth="1"/>
    <col min="14861" max="14861" width="8.73046875" style="4" customWidth="1"/>
    <col min="14862" max="14862" width="9" style="4" customWidth="1"/>
    <col min="14863" max="14863" width="11.1328125" style="4" bestFit="1" customWidth="1"/>
    <col min="14864" max="15104" width="9.1328125" style="4"/>
    <col min="15105" max="15105" width="9.3984375" style="4" bestFit="1" customWidth="1"/>
    <col min="15106" max="15106" width="10" style="4" bestFit="1" customWidth="1"/>
    <col min="15107" max="15107" width="9.1328125" style="4"/>
    <col min="15108" max="15108" width="11.73046875" style="4" bestFit="1" customWidth="1"/>
    <col min="15109" max="15109" width="9.59765625" style="4" customWidth="1"/>
    <col min="15110" max="15110" width="11.1328125" style="4" bestFit="1" customWidth="1"/>
    <col min="15111" max="15111" width="8.1328125" style="4" bestFit="1" customWidth="1"/>
    <col min="15112" max="15112" width="8" style="4" customWidth="1"/>
    <col min="15113" max="15113" width="11.1328125" style="4" bestFit="1" customWidth="1"/>
    <col min="15114" max="15114" width="9.265625" style="4" bestFit="1" customWidth="1"/>
    <col min="15115" max="15115" width="7.265625" style="4" customWidth="1"/>
    <col min="15116" max="15116" width="11.1328125" style="4" bestFit="1" customWidth="1"/>
    <col min="15117" max="15117" width="8.73046875" style="4" customWidth="1"/>
    <col min="15118" max="15118" width="9" style="4" customWidth="1"/>
    <col min="15119" max="15119" width="11.1328125" style="4" bestFit="1" customWidth="1"/>
    <col min="15120" max="15360" width="9.1328125" style="4"/>
    <col min="15361" max="15361" width="9.3984375" style="4" bestFit="1" customWidth="1"/>
    <col min="15362" max="15362" width="10" style="4" bestFit="1" customWidth="1"/>
    <col min="15363" max="15363" width="9.1328125" style="4"/>
    <col min="15364" max="15364" width="11.73046875" style="4" bestFit="1" customWidth="1"/>
    <col min="15365" max="15365" width="9.59765625" style="4" customWidth="1"/>
    <col min="15366" max="15366" width="11.1328125" style="4" bestFit="1" customWidth="1"/>
    <col min="15367" max="15367" width="8.1328125" style="4" bestFit="1" customWidth="1"/>
    <col min="15368" max="15368" width="8" style="4" customWidth="1"/>
    <col min="15369" max="15369" width="11.1328125" style="4" bestFit="1" customWidth="1"/>
    <col min="15370" max="15370" width="9.265625" style="4" bestFit="1" customWidth="1"/>
    <col min="15371" max="15371" width="7.265625" style="4" customWidth="1"/>
    <col min="15372" max="15372" width="11.1328125" style="4" bestFit="1" customWidth="1"/>
    <col min="15373" max="15373" width="8.73046875" style="4" customWidth="1"/>
    <col min="15374" max="15374" width="9" style="4" customWidth="1"/>
    <col min="15375" max="15375" width="11.1328125" style="4" bestFit="1" customWidth="1"/>
    <col min="15376" max="15616" width="9.1328125" style="4"/>
    <col min="15617" max="15617" width="9.3984375" style="4" bestFit="1" customWidth="1"/>
    <col min="15618" max="15618" width="10" style="4" bestFit="1" customWidth="1"/>
    <col min="15619" max="15619" width="9.1328125" style="4"/>
    <col min="15620" max="15620" width="11.73046875" style="4" bestFit="1" customWidth="1"/>
    <col min="15621" max="15621" width="9.59765625" style="4" customWidth="1"/>
    <col min="15622" max="15622" width="11.1328125" style="4" bestFit="1" customWidth="1"/>
    <col min="15623" max="15623" width="8.1328125" style="4" bestFit="1" customWidth="1"/>
    <col min="15624" max="15624" width="8" style="4" customWidth="1"/>
    <col min="15625" max="15625" width="11.1328125" style="4" bestFit="1" customWidth="1"/>
    <col min="15626" max="15626" width="9.265625" style="4" bestFit="1" customWidth="1"/>
    <col min="15627" max="15627" width="7.265625" style="4" customWidth="1"/>
    <col min="15628" max="15628" width="11.1328125" style="4" bestFit="1" customWidth="1"/>
    <col min="15629" max="15629" width="8.73046875" style="4" customWidth="1"/>
    <col min="15630" max="15630" width="9" style="4" customWidth="1"/>
    <col min="15631" max="15631" width="11.1328125" style="4" bestFit="1" customWidth="1"/>
    <col min="15632" max="15872" width="9.1328125" style="4"/>
    <col min="15873" max="15873" width="9.3984375" style="4" bestFit="1" customWidth="1"/>
    <col min="15874" max="15874" width="10" style="4" bestFit="1" customWidth="1"/>
    <col min="15875" max="15875" width="9.1328125" style="4"/>
    <col min="15876" max="15876" width="11.73046875" style="4" bestFit="1" customWidth="1"/>
    <col min="15877" max="15877" width="9.59765625" style="4" customWidth="1"/>
    <col min="15878" max="15878" width="11.1328125" style="4" bestFit="1" customWidth="1"/>
    <col min="15879" max="15879" width="8.1328125" style="4" bestFit="1" customWidth="1"/>
    <col min="15880" max="15880" width="8" style="4" customWidth="1"/>
    <col min="15881" max="15881" width="11.1328125" style="4" bestFit="1" customWidth="1"/>
    <col min="15882" max="15882" width="9.265625" style="4" bestFit="1" customWidth="1"/>
    <col min="15883" max="15883" width="7.265625" style="4" customWidth="1"/>
    <col min="15884" max="15884" width="11.1328125" style="4" bestFit="1" customWidth="1"/>
    <col min="15885" max="15885" width="8.73046875" style="4" customWidth="1"/>
    <col min="15886" max="15886" width="9" style="4" customWidth="1"/>
    <col min="15887" max="15887" width="11.1328125" style="4" bestFit="1" customWidth="1"/>
    <col min="15888" max="16128" width="9.1328125" style="4"/>
    <col min="16129" max="16129" width="9.3984375" style="4" bestFit="1" customWidth="1"/>
    <col min="16130" max="16130" width="10" style="4" bestFit="1" customWidth="1"/>
    <col min="16131" max="16131" width="9.1328125" style="4"/>
    <col min="16132" max="16132" width="11.73046875" style="4" bestFit="1" customWidth="1"/>
    <col min="16133" max="16133" width="9.59765625" style="4" customWidth="1"/>
    <col min="16134" max="16134" width="11.1328125" style="4" bestFit="1" customWidth="1"/>
    <col min="16135" max="16135" width="8.1328125" style="4" bestFit="1" customWidth="1"/>
    <col min="16136" max="16136" width="8" style="4" customWidth="1"/>
    <col min="16137" max="16137" width="11.1328125" style="4" bestFit="1" customWidth="1"/>
    <col min="16138" max="16138" width="9.265625" style="4" bestFit="1" customWidth="1"/>
    <col min="16139" max="16139" width="7.265625" style="4" customWidth="1"/>
    <col min="16140" max="16140" width="11.1328125" style="4" bestFit="1" customWidth="1"/>
    <col min="16141" max="16141" width="8.73046875" style="4" customWidth="1"/>
    <col min="16142" max="16142" width="9" style="4" customWidth="1"/>
    <col min="16143" max="16143" width="11.1328125" style="4" bestFit="1" customWidth="1"/>
    <col min="16144" max="16384" width="9.1328125" style="4"/>
  </cols>
  <sheetData>
    <row r="1" spans="1:15">
      <c r="A1" s="110" t="s">
        <v>36</v>
      </c>
      <c r="B1" s="110"/>
      <c r="C1" s="110"/>
      <c r="D1" s="111" t="s">
        <v>37</v>
      </c>
      <c r="E1" s="111"/>
      <c r="F1" s="111"/>
      <c r="G1" s="112" t="s">
        <v>38</v>
      </c>
      <c r="H1" s="112"/>
      <c r="I1" s="112"/>
      <c r="J1" s="113" t="s">
        <v>39</v>
      </c>
      <c r="K1" s="113"/>
      <c r="L1" s="113"/>
      <c r="M1" s="114" t="s">
        <v>40</v>
      </c>
      <c r="N1" s="114"/>
      <c r="O1" s="114"/>
    </row>
    <row r="2" spans="1:15">
      <c r="A2" s="4" t="s">
        <v>389</v>
      </c>
      <c r="B2" s="28">
        <v>5</v>
      </c>
      <c r="C2" s="4" t="s">
        <v>439</v>
      </c>
      <c r="D2" s="4" t="s">
        <v>274</v>
      </c>
      <c r="E2" s="29">
        <v>5</v>
      </c>
      <c r="F2" s="30" t="s">
        <v>42</v>
      </c>
      <c r="G2" s="4" t="s">
        <v>275</v>
      </c>
      <c r="H2" s="28">
        <v>2.5</v>
      </c>
      <c r="I2" s="4" t="s">
        <v>44</v>
      </c>
      <c r="J2" s="4" t="s">
        <v>440</v>
      </c>
      <c r="K2" s="28">
        <v>2.5</v>
      </c>
      <c r="L2" s="4" t="s">
        <v>44</v>
      </c>
      <c r="M2" s="4" t="s">
        <v>276</v>
      </c>
      <c r="N2" s="28">
        <v>2.5</v>
      </c>
      <c r="O2" s="4" t="s">
        <v>44</v>
      </c>
    </row>
    <row r="3" spans="1:15">
      <c r="A3" s="31" t="s">
        <v>277</v>
      </c>
      <c r="B3" s="28">
        <v>0.25</v>
      </c>
      <c r="C3" s="4" t="s">
        <v>441</v>
      </c>
      <c r="D3" s="4" t="s">
        <v>278</v>
      </c>
      <c r="E3" s="29">
        <v>15</v>
      </c>
      <c r="F3" s="30" t="s">
        <v>42</v>
      </c>
      <c r="G3" s="30" t="s">
        <v>419</v>
      </c>
      <c r="H3" s="29">
        <v>20</v>
      </c>
      <c r="I3" s="30" t="s">
        <v>42</v>
      </c>
      <c r="J3" s="30" t="s">
        <v>442</v>
      </c>
      <c r="K3" s="29">
        <v>20</v>
      </c>
      <c r="L3" s="30" t="s">
        <v>42</v>
      </c>
      <c r="M3" s="30" t="s">
        <v>420</v>
      </c>
      <c r="N3" s="29">
        <v>20</v>
      </c>
      <c r="O3" s="30" t="s">
        <v>42</v>
      </c>
    </row>
    <row r="4" spans="1:15">
      <c r="A4" s="32" t="s">
        <v>282</v>
      </c>
      <c r="B4" s="28">
        <v>2</v>
      </c>
      <c r="C4" s="4" t="s">
        <v>443</v>
      </c>
      <c r="D4" s="4" t="s">
        <v>279</v>
      </c>
      <c r="E4" s="33">
        <f>SUM(E2:E3)</f>
        <v>20</v>
      </c>
      <c r="F4" s="30" t="s">
        <v>42</v>
      </c>
      <c r="G4" s="30" t="s">
        <v>280</v>
      </c>
      <c r="H4" s="29">
        <v>55</v>
      </c>
      <c r="I4" s="30" t="s">
        <v>54</v>
      </c>
      <c r="J4" s="30" t="s">
        <v>444</v>
      </c>
      <c r="K4" s="29">
        <v>55</v>
      </c>
      <c r="L4" s="30" t="s">
        <v>54</v>
      </c>
      <c r="M4" s="30" t="s">
        <v>281</v>
      </c>
      <c r="N4" s="29">
        <v>55</v>
      </c>
      <c r="O4" s="30" t="s">
        <v>54</v>
      </c>
    </row>
    <row r="5" spans="1:15">
      <c r="A5" s="32" t="s">
        <v>286</v>
      </c>
      <c r="B5" s="28">
        <v>2</v>
      </c>
      <c r="C5" s="4" t="s">
        <v>443</v>
      </c>
      <c r="D5" s="34" t="s">
        <v>283</v>
      </c>
      <c r="E5" s="29">
        <v>55</v>
      </c>
      <c r="F5" s="30" t="s">
        <v>59</v>
      </c>
      <c r="G5" s="30" t="s">
        <v>284</v>
      </c>
      <c r="H5" s="29">
        <v>5</v>
      </c>
      <c r="I5" s="30" t="s">
        <v>61</v>
      </c>
      <c r="J5" s="30" t="s">
        <v>445</v>
      </c>
      <c r="K5" s="29">
        <v>5</v>
      </c>
      <c r="L5" s="30" t="s">
        <v>61</v>
      </c>
      <c r="M5" s="30" t="s">
        <v>285</v>
      </c>
      <c r="N5" s="29">
        <v>5</v>
      </c>
      <c r="O5" s="30" t="s">
        <v>61</v>
      </c>
    </row>
    <row r="6" spans="1:15">
      <c r="A6" s="32" t="s">
        <v>290</v>
      </c>
      <c r="B6" s="28">
        <v>0.7</v>
      </c>
      <c r="C6" s="4" t="s">
        <v>443</v>
      </c>
      <c r="D6" s="34" t="s">
        <v>287</v>
      </c>
      <c r="E6" s="29">
        <v>55</v>
      </c>
      <c r="F6" s="30" t="s">
        <v>59</v>
      </c>
      <c r="G6" s="4" t="s">
        <v>288</v>
      </c>
      <c r="H6" s="28">
        <v>5</v>
      </c>
      <c r="I6" s="4" t="s">
        <v>44</v>
      </c>
      <c r="J6" s="4" t="s">
        <v>446</v>
      </c>
      <c r="K6" s="28">
        <v>5</v>
      </c>
      <c r="L6" s="4" t="s">
        <v>44</v>
      </c>
      <c r="M6" s="4" t="s">
        <v>289</v>
      </c>
      <c r="N6" s="28">
        <v>5</v>
      </c>
      <c r="O6" s="4" t="s">
        <v>44</v>
      </c>
    </row>
    <row r="7" spans="1:15">
      <c r="A7" s="32" t="s">
        <v>294</v>
      </c>
      <c r="B7" s="28">
        <v>0.7</v>
      </c>
      <c r="C7" s="4" t="s">
        <v>443</v>
      </c>
      <c r="D7" s="35" t="s">
        <v>291</v>
      </c>
      <c r="E7" s="29">
        <v>55</v>
      </c>
      <c r="F7" s="30" t="s">
        <v>59</v>
      </c>
      <c r="G7" s="4" t="s">
        <v>292</v>
      </c>
      <c r="H7" s="28">
        <v>55</v>
      </c>
      <c r="I7" s="4" t="s">
        <v>72</v>
      </c>
      <c r="J7" s="4" t="s">
        <v>447</v>
      </c>
      <c r="K7" s="28">
        <v>55</v>
      </c>
      <c r="L7" s="4" t="s">
        <v>72</v>
      </c>
      <c r="M7" s="4" t="s">
        <v>293</v>
      </c>
      <c r="N7" s="28">
        <v>55</v>
      </c>
      <c r="O7" s="4" t="s">
        <v>72</v>
      </c>
    </row>
    <row r="8" spans="1:15">
      <c r="A8" s="32" t="s">
        <v>298</v>
      </c>
      <c r="B8" s="28">
        <v>2</v>
      </c>
      <c r="C8" s="4" t="s">
        <v>443</v>
      </c>
      <c r="D8" s="4" t="s">
        <v>295</v>
      </c>
      <c r="E8" s="28">
        <v>5</v>
      </c>
      <c r="F8" s="4" t="s">
        <v>77</v>
      </c>
      <c r="G8" s="4" t="s">
        <v>296</v>
      </c>
      <c r="H8" s="28">
        <v>5</v>
      </c>
      <c r="I8" s="4" t="s">
        <v>77</v>
      </c>
      <c r="J8" s="4" t="s">
        <v>448</v>
      </c>
      <c r="K8" s="28">
        <v>5</v>
      </c>
      <c r="L8" s="4" t="s">
        <v>77</v>
      </c>
      <c r="M8" s="4" t="s">
        <v>297</v>
      </c>
      <c r="N8" s="28">
        <v>5</v>
      </c>
      <c r="O8" s="4" t="s">
        <v>77</v>
      </c>
    </row>
    <row r="9" spans="1:15">
      <c r="A9" s="32" t="s">
        <v>303</v>
      </c>
      <c r="B9" s="28">
        <v>0.4</v>
      </c>
      <c r="C9" s="4" t="s">
        <v>443</v>
      </c>
      <c r="D9" s="4" t="s">
        <v>299</v>
      </c>
      <c r="E9" s="28">
        <v>5</v>
      </c>
      <c r="F9" s="4" t="s">
        <v>77</v>
      </c>
      <c r="G9" s="4" t="s">
        <v>300</v>
      </c>
      <c r="H9" s="2">
        <v>1</v>
      </c>
      <c r="I9" s="4" t="s">
        <v>42</v>
      </c>
      <c r="J9" s="4" t="s">
        <v>301</v>
      </c>
      <c r="K9" s="2">
        <v>1</v>
      </c>
      <c r="L9" s="4" t="s">
        <v>42</v>
      </c>
      <c r="M9" s="4" t="s">
        <v>302</v>
      </c>
      <c r="N9" s="2">
        <v>1</v>
      </c>
      <c r="O9" s="4" t="s">
        <v>42</v>
      </c>
    </row>
    <row r="10" spans="1:15">
      <c r="A10" s="32" t="s">
        <v>307</v>
      </c>
      <c r="B10" s="6">
        <v>666666666.66666603</v>
      </c>
      <c r="C10" s="4" t="s">
        <v>449</v>
      </c>
      <c r="D10" s="4" t="s">
        <v>304</v>
      </c>
      <c r="E10" s="29">
        <v>5</v>
      </c>
      <c r="F10" s="30" t="s">
        <v>88</v>
      </c>
      <c r="G10" s="4" t="s">
        <v>305</v>
      </c>
      <c r="H10" s="2">
        <f>(st_FTSS_h*st_ET_w*st_SE*st_SA_w*st_FQ_w)</f>
        <v>673.74999999999989</v>
      </c>
      <c r="I10" s="4" t="s">
        <v>450</v>
      </c>
      <c r="J10" s="4" t="s">
        <v>451</v>
      </c>
      <c r="K10" s="2">
        <f>(st_FTSS_h*st_ET_ow*st_SE*st_SA_ow*st_FQ_ow)</f>
        <v>673.74999999999989</v>
      </c>
      <c r="L10" s="4" t="s">
        <v>450</v>
      </c>
      <c r="M10" s="4" t="s">
        <v>306</v>
      </c>
      <c r="N10" s="2">
        <f>(st_FTSS_h*st_ET_iw*st_SE*st_SA_iw*st_FQ_iw)</f>
        <v>673.74999999999989</v>
      </c>
      <c r="O10" s="4" t="s">
        <v>450</v>
      </c>
    </row>
    <row r="11" spans="1:15">
      <c r="D11" s="4" t="s">
        <v>308</v>
      </c>
      <c r="E11" s="29">
        <v>10</v>
      </c>
      <c r="F11" s="30" t="s">
        <v>88</v>
      </c>
      <c r="G11" s="4" t="s">
        <v>319</v>
      </c>
      <c r="H11" s="36">
        <f>(1-EXP(-st_k*st_t_com))/(st_k*st_t_com)</f>
        <v>0.88479686771438049</v>
      </c>
      <c r="J11" s="4" t="s">
        <v>452</v>
      </c>
      <c r="K11" s="36">
        <f>(1-EXP(-st_k*st_t_out))/(st_k*st_t_out)</f>
        <v>0.88479686771438049</v>
      </c>
      <c r="M11" s="4" t="s">
        <v>320</v>
      </c>
      <c r="N11" s="36">
        <f>(1-EXP(-st_k*st_t_ind))/(st_k*st_t_ind)</f>
        <v>0.88479686771438049</v>
      </c>
    </row>
    <row r="12" spans="1:15">
      <c r="D12" s="34" t="s">
        <v>309</v>
      </c>
      <c r="E12" s="28">
        <v>5</v>
      </c>
      <c r="F12" s="4" t="s">
        <v>92</v>
      </c>
    </row>
    <row r="13" spans="1:15">
      <c r="D13" s="34" t="s">
        <v>310</v>
      </c>
      <c r="E13" s="28">
        <v>5</v>
      </c>
      <c r="F13" s="4" t="s">
        <v>92</v>
      </c>
    </row>
    <row r="14" spans="1:15">
      <c r="D14" s="4" t="s">
        <v>311</v>
      </c>
      <c r="E14" s="28">
        <v>5</v>
      </c>
      <c r="F14" s="4" t="s">
        <v>92</v>
      </c>
    </row>
    <row r="15" spans="1:15">
      <c r="D15" s="4" t="s">
        <v>312</v>
      </c>
      <c r="E15" s="28">
        <v>10</v>
      </c>
      <c r="F15" s="4" t="s">
        <v>92</v>
      </c>
    </row>
    <row r="16" spans="1:15">
      <c r="D16" s="4" t="s">
        <v>313</v>
      </c>
      <c r="E16" s="28">
        <v>55</v>
      </c>
      <c r="F16" s="4" t="s">
        <v>72</v>
      </c>
    </row>
    <row r="17" spans="4:6">
      <c r="D17" s="4" t="s">
        <v>314</v>
      </c>
      <c r="E17" s="28">
        <v>55</v>
      </c>
      <c r="F17" s="4" t="s">
        <v>72</v>
      </c>
    </row>
    <row r="18" spans="4:6">
      <c r="D18" s="4" t="s">
        <v>421</v>
      </c>
      <c r="E18" s="2">
        <f>st_ED_res_c/st_ED_res</f>
        <v>0.25</v>
      </c>
      <c r="F18" s="4" t="s">
        <v>453</v>
      </c>
    </row>
    <row r="19" spans="4:6">
      <c r="D19" s="4" t="s">
        <v>422</v>
      </c>
      <c r="E19" s="2">
        <f>st_ED_res_a/st_ED_res</f>
        <v>0.75</v>
      </c>
      <c r="F19" s="4" t="s">
        <v>453</v>
      </c>
    </row>
    <row r="20" spans="4:6">
      <c r="D20" s="4" t="s">
        <v>315</v>
      </c>
      <c r="E20" s="2">
        <v>1</v>
      </c>
      <c r="F20" s="4" t="s">
        <v>42</v>
      </c>
    </row>
    <row r="21" spans="4:6">
      <c r="D21" s="4" t="s">
        <v>316</v>
      </c>
      <c r="E21" s="2">
        <f>((st_FTSS_h*st_ET_res_c_h*st_EF_res_c*st_SE*st_AAFres_c*st_SA_res_c*st_FQ_res_c)+(st_FTSS_h*st_ET_res_a_h*st_EF_res_a*st_SE*st_AAFres_a*st_SA_res_a*st_FQ_res_a))</f>
        <v>37056.25</v>
      </c>
      <c r="F21" s="4" t="s">
        <v>454</v>
      </c>
    </row>
    <row r="22" spans="4:6">
      <c r="D22" s="4" t="s">
        <v>317</v>
      </c>
      <c r="E22" s="2">
        <f>((st_IRA_res_c*st_EF_res_c*st_AAFres_c)+(st_IRA_res_a*st_EF_res_a*st_AAFres_a))</f>
        <v>481.25</v>
      </c>
      <c r="F22" s="4" t="s">
        <v>455</v>
      </c>
    </row>
    <row r="23" spans="4:6">
      <c r="D23" s="4" t="s">
        <v>318</v>
      </c>
      <c r="E23" s="36">
        <f>(1-EXP(-st_k*st_t_res))/(st_k*st_t_res)</f>
        <v>0.88479686771438049</v>
      </c>
    </row>
  </sheetData>
  <sheetProtection algorithmName="SHA-512" hashValue="qgS71vtgeeDHQxumSzWiCVwxGwKpCB8Jq7vsOSWyURrn8WkwUXzAAll3l6hF07psfuzKjDX1AO8HmZWL5vL1ow==" saltValue="oTpko1C4uXjsHT2wIROUlw==" spinCount="100000" sheet="1" objects="1" scenarios="1"/>
  <mergeCells count="5">
    <mergeCell ref="A1:C1"/>
    <mergeCell ref="D1:F1"/>
    <mergeCell ref="G1:I1"/>
    <mergeCell ref="J1:L1"/>
    <mergeCell ref="M1:O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sheetPr>
  <dimension ref="A1:H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4.59765625" style="4" bestFit="1" customWidth="1"/>
    <col min="4" max="4" width="17.59765625" style="4" bestFit="1" customWidth="1"/>
    <col min="5" max="5" width="17.3984375" style="4" bestFit="1" customWidth="1"/>
    <col min="6" max="6" width="14.73046875" style="4" bestFit="1" customWidth="1"/>
    <col min="7" max="7" width="16.1328125" style="4" bestFit="1" customWidth="1"/>
    <col min="8" max="8" width="16.265625" style="4" bestFit="1" customWidth="1"/>
    <col min="9" max="245" width="9.1328125" style="4"/>
    <col min="246" max="246" width="15.3984375" style="4" bestFit="1" customWidth="1"/>
    <col min="247" max="247" width="11.1328125" style="4" bestFit="1" customWidth="1"/>
    <col min="248" max="248" width="14.59765625" style="4" bestFit="1" customWidth="1"/>
    <col min="249" max="249" width="17.3984375" style="4" bestFit="1" customWidth="1"/>
    <col min="250" max="250" width="17.59765625" style="4" bestFit="1" customWidth="1"/>
    <col min="251" max="251" width="14.73046875" style="4" bestFit="1" customWidth="1"/>
    <col min="252" max="252" width="14.3984375" style="4" bestFit="1" customWidth="1"/>
    <col min="253" max="253" width="12.1328125" style="4" bestFit="1" customWidth="1"/>
    <col min="254" max="254" width="12.3984375" style="4" bestFit="1" customWidth="1"/>
    <col min="255" max="256" width="13.86328125" style="4" bestFit="1" customWidth="1"/>
    <col min="257" max="257" width="14.86328125" style="4" bestFit="1" customWidth="1"/>
    <col min="258" max="258" width="12.1328125" style="4" bestFit="1" customWidth="1"/>
    <col min="259" max="259" width="12.3984375" style="4" bestFit="1" customWidth="1"/>
    <col min="260" max="261" width="13.86328125" style="4" bestFit="1" customWidth="1"/>
    <col min="262" max="262" width="14.86328125" style="4" bestFit="1" customWidth="1"/>
    <col min="263" max="501" width="9.1328125" style="4"/>
    <col min="502" max="502" width="15.3984375" style="4" bestFit="1" customWidth="1"/>
    <col min="503" max="503" width="11.1328125" style="4" bestFit="1" customWidth="1"/>
    <col min="504" max="504" width="14.59765625" style="4" bestFit="1" customWidth="1"/>
    <col min="505" max="505" width="17.3984375" style="4" bestFit="1" customWidth="1"/>
    <col min="506" max="506" width="17.59765625" style="4" bestFit="1" customWidth="1"/>
    <col min="507" max="507" width="14.73046875" style="4" bestFit="1" customWidth="1"/>
    <col min="508" max="508" width="14.3984375" style="4" bestFit="1" customWidth="1"/>
    <col min="509" max="509" width="12.1328125" style="4" bestFit="1" customWidth="1"/>
    <col min="510" max="510" width="12.3984375" style="4" bestFit="1" customWidth="1"/>
    <col min="511" max="512" width="13.86328125" style="4" bestFit="1" customWidth="1"/>
    <col min="513" max="513" width="14.86328125" style="4" bestFit="1" customWidth="1"/>
    <col min="514" max="514" width="12.1328125" style="4" bestFit="1" customWidth="1"/>
    <col min="515" max="515" width="12.3984375" style="4" bestFit="1" customWidth="1"/>
    <col min="516" max="517" width="13.86328125" style="4" bestFit="1" customWidth="1"/>
    <col min="518" max="518" width="14.86328125" style="4" bestFit="1" customWidth="1"/>
    <col min="519" max="757" width="9.1328125" style="4"/>
    <col min="758" max="758" width="15.3984375" style="4" bestFit="1" customWidth="1"/>
    <col min="759" max="759" width="11.1328125" style="4" bestFit="1" customWidth="1"/>
    <col min="760" max="760" width="14.59765625" style="4" bestFit="1" customWidth="1"/>
    <col min="761" max="761" width="17.3984375" style="4" bestFit="1" customWidth="1"/>
    <col min="762" max="762" width="17.59765625" style="4" bestFit="1" customWidth="1"/>
    <col min="763" max="763" width="14.73046875" style="4" bestFit="1" customWidth="1"/>
    <col min="764" max="764" width="14.3984375" style="4" bestFit="1" customWidth="1"/>
    <col min="765" max="765" width="12.1328125" style="4" bestFit="1" customWidth="1"/>
    <col min="766" max="766" width="12.3984375" style="4" bestFit="1" customWidth="1"/>
    <col min="767" max="768" width="13.86328125" style="4" bestFit="1" customWidth="1"/>
    <col min="769" max="769" width="14.86328125" style="4" bestFit="1" customWidth="1"/>
    <col min="770" max="770" width="12.1328125" style="4" bestFit="1" customWidth="1"/>
    <col min="771" max="771" width="12.3984375" style="4" bestFit="1" customWidth="1"/>
    <col min="772" max="773" width="13.86328125" style="4" bestFit="1" customWidth="1"/>
    <col min="774" max="774" width="14.86328125" style="4" bestFit="1" customWidth="1"/>
    <col min="775" max="1013" width="9.1328125" style="4"/>
    <col min="1014" max="1014" width="15.3984375" style="4" bestFit="1" customWidth="1"/>
    <col min="1015" max="1015" width="11.1328125" style="4" bestFit="1" customWidth="1"/>
    <col min="1016" max="1016" width="14.59765625" style="4" bestFit="1" customWidth="1"/>
    <col min="1017" max="1017" width="17.3984375" style="4" bestFit="1" customWidth="1"/>
    <col min="1018" max="1018" width="17.59765625" style="4" bestFit="1" customWidth="1"/>
    <col min="1019" max="1019" width="14.73046875" style="4" bestFit="1" customWidth="1"/>
    <col min="1020" max="1020" width="14.3984375" style="4" bestFit="1" customWidth="1"/>
    <col min="1021" max="1021" width="12.1328125" style="4" bestFit="1" customWidth="1"/>
    <col min="1022" max="1022" width="12.3984375" style="4" bestFit="1" customWidth="1"/>
    <col min="1023" max="1024" width="13.86328125" style="4" bestFit="1" customWidth="1"/>
    <col min="1025" max="1025" width="14.86328125" style="4" bestFit="1" customWidth="1"/>
    <col min="1026" max="1026" width="12.1328125" style="4" bestFit="1" customWidth="1"/>
    <col min="1027" max="1027" width="12.3984375" style="4" bestFit="1" customWidth="1"/>
    <col min="1028" max="1029" width="13.86328125" style="4" bestFit="1" customWidth="1"/>
    <col min="1030" max="1030" width="14.86328125" style="4" bestFit="1" customWidth="1"/>
    <col min="1031" max="1269" width="9.1328125" style="4"/>
    <col min="1270" max="1270" width="15.3984375" style="4" bestFit="1" customWidth="1"/>
    <col min="1271" max="1271" width="11.1328125" style="4" bestFit="1" customWidth="1"/>
    <col min="1272" max="1272" width="14.59765625" style="4" bestFit="1" customWidth="1"/>
    <col min="1273" max="1273" width="17.3984375" style="4" bestFit="1" customWidth="1"/>
    <col min="1274" max="1274" width="17.59765625" style="4" bestFit="1" customWidth="1"/>
    <col min="1275" max="1275" width="14.73046875" style="4" bestFit="1" customWidth="1"/>
    <col min="1276" max="1276" width="14.3984375" style="4" bestFit="1" customWidth="1"/>
    <col min="1277" max="1277" width="12.1328125" style="4" bestFit="1" customWidth="1"/>
    <col min="1278" max="1278" width="12.3984375" style="4" bestFit="1" customWidth="1"/>
    <col min="1279" max="1280" width="13.86328125" style="4" bestFit="1" customWidth="1"/>
    <col min="1281" max="1281" width="14.86328125" style="4" bestFit="1" customWidth="1"/>
    <col min="1282" max="1282" width="12.1328125" style="4" bestFit="1" customWidth="1"/>
    <col min="1283" max="1283" width="12.3984375" style="4" bestFit="1" customWidth="1"/>
    <col min="1284" max="1285" width="13.86328125" style="4" bestFit="1" customWidth="1"/>
    <col min="1286" max="1286" width="14.86328125" style="4" bestFit="1" customWidth="1"/>
    <col min="1287" max="1525" width="9.1328125" style="4"/>
    <col min="1526" max="1526" width="15.3984375" style="4" bestFit="1" customWidth="1"/>
    <col min="1527" max="1527" width="11.1328125" style="4" bestFit="1" customWidth="1"/>
    <col min="1528" max="1528" width="14.59765625" style="4" bestFit="1" customWidth="1"/>
    <col min="1529" max="1529" width="17.3984375" style="4" bestFit="1" customWidth="1"/>
    <col min="1530" max="1530" width="17.59765625" style="4" bestFit="1" customWidth="1"/>
    <col min="1531" max="1531" width="14.73046875" style="4" bestFit="1" customWidth="1"/>
    <col min="1532" max="1532" width="14.3984375" style="4" bestFit="1" customWidth="1"/>
    <col min="1533" max="1533" width="12.1328125" style="4" bestFit="1" customWidth="1"/>
    <col min="1534" max="1534" width="12.3984375" style="4" bestFit="1" customWidth="1"/>
    <col min="1535" max="1536" width="13.86328125" style="4" bestFit="1" customWidth="1"/>
    <col min="1537" max="1537" width="14.86328125" style="4" bestFit="1" customWidth="1"/>
    <col min="1538" max="1538" width="12.1328125" style="4" bestFit="1" customWidth="1"/>
    <col min="1539" max="1539" width="12.3984375" style="4" bestFit="1" customWidth="1"/>
    <col min="1540" max="1541" width="13.86328125" style="4" bestFit="1" customWidth="1"/>
    <col min="1542" max="1542" width="14.86328125" style="4" bestFit="1" customWidth="1"/>
    <col min="1543" max="1781" width="9.1328125" style="4"/>
    <col min="1782" max="1782" width="15.3984375" style="4" bestFit="1" customWidth="1"/>
    <col min="1783" max="1783" width="11.1328125" style="4" bestFit="1" customWidth="1"/>
    <col min="1784" max="1784" width="14.59765625" style="4" bestFit="1" customWidth="1"/>
    <col min="1785" max="1785" width="17.3984375" style="4" bestFit="1" customWidth="1"/>
    <col min="1786" max="1786" width="17.59765625" style="4" bestFit="1" customWidth="1"/>
    <col min="1787" max="1787" width="14.73046875" style="4" bestFit="1" customWidth="1"/>
    <col min="1788" max="1788" width="14.3984375" style="4" bestFit="1" customWidth="1"/>
    <col min="1789" max="1789" width="12.1328125" style="4" bestFit="1" customWidth="1"/>
    <col min="1790" max="1790" width="12.3984375" style="4" bestFit="1" customWidth="1"/>
    <col min="1791" max="1792" width="13.86328125" style="4" bestFit="1" customWidth="1"/>
    <col min="1793" max="1793" width="14.86328125" style="4" bestFit="1" customWidth="1"/>
    <col min="1794" max="1794" width="12.1328125" style="4" bestFit="1" customWidth="1"/>
    <col min="1795" max="1795" width="12.3984375" style="4" bestFit="1" customWidth="1"/>
    <col min="1796" max="1797" width="13.86328125" style="4" bestFit="1" customWidth="1"/>
    <col min="1798" max="1798" width="14.86328125" style="4" bestFit="1" customWidth="1"/>
    <col min="1799" max="2037" width="9.1328125" style="4"/>
    <col min="2038" max="2038" width="15.3984375" style="4" bestFit="1" customWidth="1"/>
    <col min="2039" max="2039" width="11.1328125" style="4" bestFit="1" customWidth="1"/>
    <col min="2040" max="2040" width="14.59765625" style="4" bestFit="1" customWidth="1"/>
    <col min="2041" max="2041" width="17.3984375" style="4" bestFit="1" customWidth="1"/>
    <col min="2042" max="2042" width="17.59765625" style="4" bestFit="1" customWidth="1"/>
    <col min="2043" max="2043" width="14.73046875" style="4" bestFit="1" customWidth="1"/>
    <col min="2044" max="2044" width="14.3984375" style="4" bestFit="1" customWidth="1"/>
    <col min="2045" max="2045" width="12.1328125" style="4" bestFit="1" customWidth="1"/>
    <col min="2046" max="2046" width="12.3984375" style="4" bestFit="1" customWidth="1"/>
    <col min="2047" max="2048" width="13.86328125" style="4" bestFit="1" customWidth="1"/>
    <col min="2049" max="2049" width="14.86328125" style="4" bestFit="1" customWidth="1"/>
    <col min="2050" max="2050" width="12.1328125" style="4" bestFit="1" customWidth="1"/>
    <col min="2051" max="2051" width="12.3984375" style="4" bestFit="1" customWidth="1"/>
    <col min="2052" max="2053" width="13.86328125" style="4" bestFit="1" customWidth="1"/>
    <col min="2054" max="2054" width="14.86328125" style="4" bestFit="1" customWidth="1"/>
    <col min="2055" max="2293" width="9.1328125" style="4"/>
    <col min="2294" max="2294" width="15.3984375" style="4" bestFit="1" customWidth="1"/>
    <col min="2295" max="2295" width="11.1328125" style="4" bestFit="1" customWidth="1"/>
    <col min="2296" max="2296" width="14.59765625" style="4" bestFit="1" customWidth="1"/>
    <col min="2297" max="2297" width="17.3984375" style="4" bestFit="1" customWidth="1"/>
    <col min="2298" max="2298" width="17.59765625" style="4" bestFit="1" customWidth="1"/>
    <col min="2299" max="2299" width="14.73046875" style="4" bestFit="1" customWidth="1"/>
    <col min="2300" max="2300" width="14.3984375" style="4" bestFit="1" customWidth="1"/>
    <col min="2301" max="2301" width="12.1328125" style="4" bestFit="1" customWidth="1"/>
    <col min="2302" max="2302" width="12.3984375" style="4" bestFit="1" customWidth="1"/>
    <col min="2303" max="2304" width="13.86328125" style="4" bestFit="1" customWidth="1"/>
    <col min="2305" max="2305" width="14.86328125" style="4" bestFit="1" customWidth="1"/>
    <col min="2306" max="2306" width="12.1328125" style="4" bestFit="1" customWidth="1"/>
    <col min="2307" max="2307" width="12.3984375" style="4" bestFit="1" customWidth="1"/>
    <col min="2308" max="2309" width="13.86328125" style="4" bestFit="1" customWidth="1"/>
    <col min="2310" max="2310" width="14.86328125" style="4" bestFit="1" customWidth="1"/>
    <col min="2311" max="2549" width="9.1328125" style="4"/>
    <col min="2550" max="2550" width="15.3984375" style="4" bestFit="1" customWidth="1"/>
    <col min="2551" max="2551" width="11.1328125" style="4" bestFit="1" customWidth="1"/>
    <col min="2552" max="2552" width="14.59765625" style="4" bestFit="1" customWidth="1"/>
    <col min="2553" max="2553" width="17.3984375" style="4" bestFit="1" customWidth="1"/>
    <col min="2554" max="2554" width="17.59765625" style="4" bestFit="1" customWidth="1"/>
    <col min="2555" max="2555" width="14.73046875" style="4" bestFit="1" customWidth="1"/>
    <col min="2556" max="2556" width="14.3984375" style="4" bestFit="1" customWidth="1"/>
    <col min="2557" max="2557" width="12.1328125" style="4" bestFit="1" customWidth="1"/>
    <col min="2558" max="2558" width="12.3984375" style="4" bestFit="1" customWidth="1"/>
    <col min="2559" max="2560" width="13.86328125" style="4" bestFit="1" customWidth="1"/>
    <col min="2561" max="2561" width="14.86328125" style="4" bestFit="1" customWidth="1"/>
    <col min="2562" max="2562" width="12.1328125" style="4" bestFit="1" customWidth="1"/>
    <col min="2563" max="2563" width="12.3984375" style="4" bestFit="1" customWidth="1"/>
    <col min="2564" max="2565" width="13.86328125" style="4" bestFit="1" customWidth="1"/>
    <col min="2566" max="2566" width="14.86328125" style="4" bestFit="1" customWidth="1"/>
    <col min="2567" max="2805" width="9.1328125" style="4"/>
    <col min="2806" max="2806" width="15.3984375" style="4" bestFit="1" customWidth="1"/>
    <col min="2807" max="2807" width="11.1328125" style="4" bestFit="1" customWidth="1"/>
    <col min="2808" max="2808" width="14.59765625" style="4" bestFit="1" customWidth="1"/>
    <col min="2809" max="2809" width="17.3984375" style="4" bestFit="1" customWidth="1"/>
    <col min="2810" max="2810" width="17.59765625" style="4" bestFit="1" customWidth="1"/>
    <col min="2811" max="2811" width="14.73046875" style="4" bestFit="1" customWidth="1"/>
    <col min="2812" max="2812" width="14.3984375" style="4" bestFit="1" customWidth="1"/>
    <col min="2813" max="2813" width="12.1328125" style="4" bestFit="1" customWidth="1"/>
    <col min="2814" max="2814" width="12.3984375" style="4" bestFit="1" customWidth="1"/>
    <col min="2815" max="2816" width="13.86328125" style="4" bestFit="1" customWidth="1"/>
    <col min="2817" max="2817" width="14.86328125" style="4" bestFit="1" customWidth="1"/>
    <col min="2818" max="2818" width="12.1328125" style="4" bestFit="1" customWidth="1"/>
    <col min="2819" max="2819" width="12.3984375" style="4" bestFit="1" customWidth="1"/>
    <col min="2820" max="2821" width="13.86328125" style="4" bestFit="1" customWidth="1"/>
    <col min="2822" max="2822" width="14.86328125" style="4" bestFit="1" customWidth="1"/>
    <col min="2823" max="3061" width="9.1328125" style="4"/>
    <col min="3062" max="3062" width="15.3984375" style="4" bestFit="1" customWidth="1"/>
    <col min="3063" max="3063" width="11.1328125" style="4" bestFit="1" customWidth="1"/>
    <col min="3064" max="3064" width="14.59765625" style="4" bestFit="1" customWidth="1"/>
    <col min="3065" max="3065" width="17.3984375" style="4" bestFit="1" customWidth="1"/>
    <col min="3066" max="3066" width="17.59765625" style="4" bestFit="1" customWidth="1"/>
    <col min="3067" max="3067" width="14.73046875" style="4" bestFit="1" customWidth="1"/>
    <col min="3068" max="3068" width="14.3984375" style="4" bestFit="1" customWidth="1"/>
    <col min="3069" max="3069" width="12.1328125" style="4" bestFit="1" customWidth="1"/>
    <col min="3070" max="3070" width="12.3984375" style="4" bestFit="1" customWidth="1"/>
    <col min="3071" max="3072" width="13.86328125" style="4" bestFit="1" customWidth="1"/>
    <col min="3073" max="3073" width="14.86328125" style="4" bestFit="1" customWidth="1"/>
    <col min="3074" max="3074" width="12.1328125" style="4" bestFit="1" customWidth="1"/>
    <col min="3075" max="3075" width="12.3984375" style="4" bestFit="1" customWidth="1"/>
    <col min="3076" max="3077" width="13.86328125" style="4" bestFit="1" customWidth="1"/>
    <col min="3078" max="3078" width="14.86328125" style="4" bestFit="1" customWidth="1"/>
    <col min="3079" max="3317" width="9.1328125" style="4"/>
    <col min="3318" max="3318" width="15.3984375" style="4" bestFit="1" customWidth="1"/>
    <col min="3319" max="3319" width="11.1328125" style="4" bestFit="1" customWidth="1"/>
    <col min="3320" max="3320" width="14.59765625" style="4" bestFit="1" customWidth="1"/>
    <col min="3321" max="3321" width="17.3984375" style="4" bestFit="1" customWidth="1"/>
    <col min="3322" max="3322" width="17.59765625" style="4" bestFit="1" customWidth="1"/>
    <col min="3323" max="3323" width="14.73046875" style="4" bestFit="1" customWidth="1"/>
    <col min="3324" max="3324" width="14.3984375" style="4" bestFit="1" customWidth="1"/>
    <col min="3325" max="3325" width="12.1328125" style="4" bestFit="1" customWidth="1"/>
    <col min="3326" max="3326" width="12.3984375" style="4" bestFit="1" customWidth="1"/>
    <col min="3327" max="3328" width="13.86328125" style="4" bestFit="1" customWidth="1"/>
    <col min="3329" max="3329" width="14.86328125" style="4" bestFit="1" customWidth="1"/>
    <col min="3330" max="3330" width="12.1328125" style="4" bestFit="1" customWidth="1"/>
    <col min="3331" max="3331" width="12.3984375" style="4" bestFit="1" customWidth="1"/>
    <col min="3332" max="3333" width="13.86328125" style="4" bestFit="1" customWidth="1"/>
    <col min="3334" max="3334" width="14.86328125" style="4" bestFit="1" customWidth="1"/>
    <col min="3335" max="3573" width="9.1328125" style="4"/>
    <col min="3574" max="3574" width="15.3984375" style="4" bestFit="1" customWidth="1"/>
    <col min="3575" max="3575" width="11.1328125" style="4" bestFit="1" customWidth="1"/>
    <col min="3576" max="3576" width="14.59765625" style="4" bestFit="1" customWidth="1"/>
    <col min="3577" max="3577" width="17.3984375" style="4" bestFit="1" customWidth="1"/>
    <col min="3578" max="3578" width="17.59765625" style="4" bestFit="1" customWidth="1"/>
    <col min="3579" max="3579" width="14.73046875" style="4" bestFit="1" customWidth="1"/>
    <col min="3580" max="3580" width="14.3984375" style="4" bestFit="1" customWidth="1"/>
    <col min="3581" max="3581" width="12.1328125" style="4" bestFit="1" customWidth="1"/>
    <col min="3582" max="3582" width="12.3984375" style="4" bestFit="1" customWidth="1"/>
    <col min="3583" max="3584" width="13.86328125" style="4" bestFit="1" customWidth="1"/>
    <col min="3585" max="3585" width="14.86328125" style="4" bestFit="1" customWidth="1"/>
    <col min="3586" max="3586" width="12.1328125" style="4" bestFit="1" customWidth="1"/>
    <col min="3587" max="3587" width="12.3984375" style="4" bestFit="1" customWidth="1"/>
    <col min="3588" max="3589" width="13.86328125" style="4" bestFit="1" customWidth="1"/>
    <col min="3590" max="3590" width="14.86328125" style="4" bestFit="1" customWidth="1"/>
    <col min="3591" max="3829" width="9.1328125" style="4"/>
    <col min="3830" max="3830" width="15.3984375" style="4" bestFit="1" customWidth="1"/>
    <col min="3831" max="3831" width="11.1328125" style="4" bestFit="1" customWidth="1"/>
    <col min="3832" max="3832" width="14.59765625" style="4" bestFit="1" customWidth="1"/>
    <col min="3833" max="3833" width="17.3984375" style="4" bestFit="1" customWidth="1"/>
    <col min="3834" max="3834" width="17.59765625" style="4" bestFit="1" customWidth="1"/>
    <col min="3835" max="3835" width="14.73046875" style="4" bestFit="1" customWidth="1"/>
    <col min="3836" max="3836" width="14.3984375" style="4" bestFit="1" customWidth="1"/>
    <col min="3837" max="3837" width="12.1328125" style="4" bestFit="1" customWidth="1"/>
    <col min="3838" max="3838" width="12.3984375" style="4" bestFit="1" customWidth="1"/>
    <col min="3839" max="3840" width="13.86328125" style="4" bestFit="1" customWidth="1"/>
    <col min="3841" max="3841" width="14.86328125" style="4" bestFit="1" customWidth="1"/>
    <col min="3842" max="3842" width="12.1328125" style="4" bestFit="1" customWidth="1"/>
    <col min="3843" max="3843" width="12.3984375" style="4" bestFit="1" customWidth="1"/>
    <col min="3844" max="3845" width="13.86328125" style="4" bestFit="1" customWidth="1"/>
    <col min="3846" max="3846" width="14.86328125" style="4" bestFit="1" customWidth="1"/>
    <col min="3847" max="4085" width="9.1328125" style="4"/>
    <col min="4086" max="4086" width="15.3984375" style="4" bestFit="1" customWidth="1"/>
    <col min="4087" max="4087" width="11.1328125" style="4" bestFit="1" customWidth="1"/>
    <col min="4088" max="4088" width="14.59765625" style="4" bestFit="1" customWidth="1"/>
    <col min="4089" max="4089" width="17.3984375" style="4" bestFit="1" customWidth="1"/>
    <col min="4090" max="4090" width="17.59765625" style="4" bestFit="1" customWidth="1"/>
    <col min="4091" max="4091" width="14.73046875" style="4" bestFit="1" customWidth="1"/>
    <col min="4092" max="4092" width="14.3984375" style="4" bestFit="1" customWidth="1"/>
    <col min="4093" max="4093" width="12.1328125" style="4" bestFit="1" customWidth="1"/>
    <col min="4094" max="4094" width="12.3984375" style="4" bestFit="1" customWidth="1"/>
    <col min="4095" max="4096" width="13.86328125" style="4" bestFit="1" customWidth="1"/>
    <col min="4097" max="4097" width="14.86328125" style="4" bestFit="1" customWidth="1"/>
    <col min="4098" max="4098" width="12.1328125" style="4" bestFit="1" customWidth="1"/>
    <col min="4099" max="4099" width="12.3984375" style="4" bestFit="1" customWidth="1"/>
    <col min="4100" max="4101" width="13.86328125" style="4" bestFit="1" customWidth="1"/>
    <col min="4102" max="4102" width="14.86328125" style="4" bestFit="1" customWidth="1"/>
    <col min="4103" max="4341" width="9.1328125" style="4"/>
    <col min="4342" max="4342" width="15.3984375" style="4" bestFit="1" customWidth="1"/>
    <col min="4343" max="4343" width="11.1328125" style="4" bestFit="1" customWidth="1"/>
    <col min="4344" max="4344" width="14.59765625" style="4" bestFit="1" customWidth="1"/>
    <col min="4345" max="4345" width="17.3984375" style="4" bestFit="1" customWidth="1"/>
    <col min="4346" max="4346" width="17.59765625" style="4" bestFit="1" customWidth="1"/>
    <col min="4347" max="4347" width="14.73046875" style="4" bestFit="1" customWidth="1"/>
    <col min="4348" max="4348" width="14.3984375" style="4" bestFit="1" customWidth="1"/>
    <col min="4349" max="4349" width="12.1328125" style="4" bestFit="1" customWidth="1"/>
    <col min="4350" max="4350" width="12.3984375" style="4" bestFit="1" customWidth="1"/>
    <col min="4351" max="4352" width="13.86328125" style="4" bestFit="1" customWidth="1"/>
    <col min="4353" max="4353" width="14.86328125" style="4" bestFit="1" customWidth="1"/>
    <col min="4354" max="4354" width="12.1328125" style="4" bestFit="1" customWidth="1"/>
    <col min="4355" max="4355" width="12.3984375" style="4" bestFit="1" customWidth="1"/>
    <col min="4356" max="4357" width="13.86328125" style="4" bestFit="1" customWidth="1"/>
    <col min="4358" max="4358" width="14.86328125" style="4" bestFit="1" customWidth="1"/>
    <col min="4359" max="4597" width="9.1328125" style="4"/>
    <col min="4598" max="4598" width="15.3984375" style="4" bestFit="1" customWidth="1"/>
    <col min="4599" max="4599" width="11.1328125" style="4" bestFit="1" customWidth="1"/>
    <col min="4600" max="4600" width="14.59765625" style="4" bestFit="1" customWidth="1"/>
    <col min="4601" max="4601" width="17.3984375" style="4" bestFit="1" customWidth="1"/>
    <col min="4602" max="4602" width="17.59765625" style="4" bestFit="1" customWidth="1"/>
    <col min="4603" max="4603" width="14.73046875" style="4" bestFit="1" customWidth="1"/>
    <col min="4604" max="4604" width="14.3984375" style="4" bestFit="1" customWidth="1"/>
    <col min="4605" max="4605" width="12.1328125" style="4" bestFit="1" customWidth="1"/>
    <col min="4606" max="4606" width="12.3984375" style="4" bestFit="1" customWidth="1"/>
    <col min="4607" max="4608" width="13.86328125" style="4" bestFit="1" customWidth="1"/>
    <col min="4609" max="4609" width="14.86328125" style="4" bestFit="1" customWidth="1"/>
    <col min="4610" max="4610" width="12.1328125" style="4" bestFit="1" customWidth="1"/>
    <col min="4611" max="4611" width="12.3984375" style="4" bestFit="1" customWidth="1"/>
    <col min="4612" max="4613" width="13.86328125" style="4" bestFit="1" customWidth="1"/>
    <col min="4614" max="4614" width="14.86328125" style="4" bestFit="1" customWidth="1"/>
    <col min="4615" max="4853" width="9.1328125" style="4"/>
    <col min="4854" max="4854" width="15.3984375" style="4" bestFit="1" customWidth="1"/>
    <col min="4855" max="4855" width="11.1328125" style="4" bestFit="1" customWidth="1"/>
    <col min="4856" max="4856" width="14.59765625" style="4" bestFit="1" customWidth="1"/>
    <col min="4857" max="4857" width="17.3984375" style="4" bestFit="1" customWidth="1"/>
    <col min="4858" max="4858" width="17.59765625" style="4" bestFit="1" customWidth="1"/>
    <col min="4859" max="4859" width="14.73046875" style="4" bestFit="1" customWidth="1"/>
    <col min="4860" max="4860" width="14.3984375" style="4" bestFit="1" customWidth="1"/>
    <col min="4861" max="4861" width="12.1328125" style="4" bestFit="1" customWidth="1"/>
    <col min="4862" max="4862" width="12.3984375" style="4" bestFit="1" customWidth="1"/>
    <col min="4863" max="4864" width="13.86328125" style="4" bestFit="1" customWidth="1"/>
    <col min="4865" max="4865" width="14.86328125" style="4" bestFit="1" customWidth="1"/>
    <col min="4866" max="4866" width="12.1328125" style="4" bestFit="1" customWidth="1"/>
    <col min="4867" max="4867" width="12.3984375" style="4" bestFit="1" customWidth="1"/>
    <col min="4868" max="4869" width="13.86328125" style="4" bestFit="1" customWidth="1"/>
    <col min="4870" max="4870" width="14.86328125" style="4" bestFit="1" customWidth="1"/>
    <col min="4871" max="5109" width="9.1328125" style="4"/>
    <col min="5110" max="5110" width="15.3984375" style="4" bestFit="1" customWidth="1"/>
    <col min="5111" max="5111" width="11.1328125" style="4" bestFit="1" customWidth="1"/>
    <col min="5112" max="5112" width="14.59765625" style="4" bestFit="1" customWidth="1"/>
    <col min="5113" max="5113" width="17.3984375" style="4" bestFit="1" customWidth="1"/>
    <col min="5114" max="5114" width="17.59765625" style="4" bestFit="1" customWidth="1"/>
    <col min="5115" max="5115" width="14.73046875" style="4" bestFit="1" customWidth="1"/>
    <col min="5116" max="5116" width="14.3984375" style="4" bestFit="1" customWidth="1"/>
    <col min="5117" max="5117" width="12.1328125" style="4" bestFit="1" customWidth="1"/>
    <col min="5118" max="5118" width="12.3984375" style="4" bestFit="1" customWidth="1"/>
    <col min="5119" max="5120" width="13.86328125" style="4" bestFit="1" customWidth="1"/>
    <col min="5121" max="5121" width="14.86328125" style="4" bestFit="1" customWidth="1"/>
    <col min="5122" max="5122" width="12.1328125" style="4" bestFit="1" customWidth="1"/>
    <col min="5123" max="5123" width="12.3984375" style="4" bestFit="1" customWidth="1"/>
    <col min="5124" max="5125" width="13.86328125" style="4" bestFit="1" customWidth="1"/>
    <col min="5126" max="5126" width="14.86328125" style="4" bestFit="1" customWidth="1"/>
    <col min="5127" max="5365" width="9.1328125" style="4"/>
    <col min="5366" max="5366" width="15.3984375" style="4" bestFit="1" customWidth="1"/>
    <col min="5367" max="5367" width="11.1328125" style="4" bestFit="1" customWidth="1"/>
    <col min="5368" max="5368" width="14.59765625" style="4" bestFit="1" customWidth="1"/>
    <col min="5369" max="5369" width="17.3984375" style="4" bestFit="1" customWidth="1"/>
    <col min="5370" max="5370" width="17.59765625" style="4" bestFit="1" customWidth="1"/>
    <col min="5371" max="5371" width="14.73046875" style="4" bestFit="1" customWidth="1"/>
    <col min="5372" max="5372" width="14.3984375" style="4" bestFit="1" customWidth="1"/>
    <col min="5373" max="5373" width="12.1328125" style="4" bestFit="1" customWidth="1"/>
    <col min="5374" max="5374" width="12.3984375" style="4" bestFit="1" customWidth="1"/>
    <col min="5375" max="5376" width="13.86328125" style="4" bestFit="1" customWidth="1"/>
    <col min="5377" max="5377" width="14.86328125" style="4" bestFit="1" customWidth="1"/>
    <col min="5378" max="5378" width="12.1328125" style="4" bestFit="1" customWidth="1"/>
    <col min="5379" max="5379" width="12.3984375" style="4" bestFit="1" customWidth="1"/>
    <col min="5380" max="5381" width="13.86328125" style="4" bestFit="1" customWidth="1"/>
    <col min="5382" max="5382" width="14.86328125" style="4" bestFit="1" customWidth="1"/>
    <col min="5383" max="5621" width="9.1328125" style="4"/>
    <col min="5622" max="5622" width="15.3984375" style="4" bestFit="1" customWidth="1"/>
    <col min="5623" max="5623" width="11.1328125" style="4" bestFit="1" customWidth="1"/>
    <col min="5624" max="5624" width="14.59765625" style="4" bestFit="1" customWidth="1"/>
    <col min="5625" max="5625" width="17.3984375" style="4" bestFit="1" customWidth="1"/>
    <col min="5626" max="5626" width="17.59765625" style="4" bestFit="1" customWidth="1"/>
    <col min="5627" max="5627" width="14.73046875" style="4" bestFit="1" customWidth="1"/>
    <col min="5628" max="5628" width="14.3984375" style="4" bestFit="1" customWidth="1"/>
    <col min="5629" max="5629" width="12.1328125" style="4" bestFit="1" customWidth="1"/>
    <col min="5630" max="5630" width="12.3984375" style="4" bestFit="1" customWidth="1"/>
    <col min="5631" max="5632" width="13.86328125" style="4" bestFit="1" customWidth="1"/>
    <col min="5633" max="5633" width="14.86328125" style="4" bestFit="1" customWidth="1"/>
    <col min="5634" max="5634" width="12.1328125" style="4" bestFit="1" customWidth="1"/>
    <col min="5635" max="5635" width="12.3984375" style="4" bestFit="1" customWidth="1"/>
    <col min="5636" max="5637" width="13.86328125" style="4" bestFit="1" customWidth="1"/>
    <col min="5638" max="5638" width="14.86328125" style="4" bestFit="1" customWidth="1"/>
    <col min="5639" max="5877" width="9.1328125" style="4"/>
    <col min="5878" max="5878" width="15.3984375" style="4" bestFit="1" customWidth="1"/>
    <col min="5879" max="5879" width="11.1328125" style="4" bestFit="1" customWidth="1"/>
    <col min="5880" max="5880" width="14.59765625" style="4" bestFit="1" customWidth="1"/>
    <col min="5881" max="5881" width="17.3984375" style="4" bestFit="1" customWidth="1"/>
    <col min="5882" max="5882" width="17.59765625" style="4" bestFit="1" customWidth="1"/>
    <col min="5883" max="5883" width="14.73046875" style="4" bestFit="1" customWidth="1"/>
    <col min="5884" max="5884" width="14.3984375" style="4" bestFit="1" customWidth="1"/>
    <col min="5885" max="5885" width="12.1328125" style="4" bestFit="1" customWidth="1"/>
    <col min="5886" max="5886" width="12.3984375" style="4" bestFit="1" customWidth="1"/>
    <col min="5887" max="5888" width="13.86328125" style="4" bestFit="1" customWidth="1"/>
    <col min="5889" max="5889" width="14.86328125" style="4" bestFit="1" customWidth="1"/>
    <col min="5890" max="5890" width="12.1328125" style="4" bestFit="1" customWidth="1"/>
    <col min="5891" max="5891" width="12.3984375" style="4" bestFit="1" customWidth="1"/>
    <col min="5892" max="5893" width="13.86328125" style="4" bestFit="1" customWidth="1"/>
    <col min="5894" max="5894" width="14.86328125" style="4" bestFit="1" customWidth="1"/>
    <col min="5895" max="6133" width="9.1328125" style="4"/>
    <col min="6134" max="6134" width="15.3984375" style="4" bestFit="1" customWidth="1"/>
    <col min="6135" max="6135" width="11.1328125" style="4" bestFit="1" customWidth="1"/>
    <col min="6136" max="6136" width="14.59765625" style="4" bestFit="1" customWidth="1"/>
    <col min="6137" max="6137" width="17.3984375" style="4" bestFit="1" customWidth="1"/>
    <col min="6138" max="6138" width="17.59765625" style="4" bestFit="1" customWidth="1"/>
    <col min="6139" max="6139" width="14.73046875" style="4" bestFit="1" customWidth="1"/>
    <col min="6140" max="6140" width="14.3984375" style="4" bestFit="1" customWidth="1"/>
    <col min="6141" max="6141" width="12.1328125" style="4" bestFit="1" customWidth="1"/>
    <col min="6142" max="6142" width="12.3984375" style="4" bestFit="1" customWidth="1"/>
    <col min="6143" max="6144" width="13.86328125" style="4" bestFit="1" customWidth="1"/>
    <col min="6145" max="6145" width="14.86328125" style="4" bestFit="1" customWidth="1"/>
    <col min="6146" max="6146" width="12.1328125" style="4" bestFit="1" customWidth="1"/>
    <col min="6147" max="6147" width="12.3984375" style="4" bestFit="1" customWidth="1"/>
    <col min="6148" max="6149" width="13.86328125" style="4" bestFit="1" customWidth="1"/>
    <col min="6150" max="6150" width="14.86328125" style="4" bestFit="1" customWidth="1"/>
    <col min="6151" max="6389" width="9.1328125" style="4"/>
    <col min="6390" max="6390" width="15.3984375" style="4" bestFit="1" customWidth="1"/>
    <col min="6391" max="6391" width="11.1328125" style="4" bestFit="1" customWidth="1"/>
    <col min="6392" max="6392" width="14.59765625" style="4" bestFit="1" customWidth="1"/>
    <col min="6393" max="6393" width="17.3984375" style="4" bestFit="1" customWidth="1"/>
    <col min="6394" max="6394" width="17.59765625" style="4" bestFit="1" customWidth="1"/>
    <col min="6395" max="6395" width="14.73046875" style="4" bestFit="1" customWidth="1"/>
    <col min="6396" max="6396" width="14.3984375" style="4" bestFit="1" customWidth="1"/>
    <col min="6397" max="6397" width="12.1328125" style="4" bestFit="1" customWidth="1"/>
    <col min="6398" max="6398" width="12.3984375" style="4" bestFit="1" customWidth="1"/>
    <col min="6399" max="6400" width="13.86328125" style="4" bestFit="1" customWidth="1"/>
    <col min="6401" max="6401" width="14.86328125" style="4" bestFit="1" customWidth="1"/>
    <col min="6402" max="6402" width="12.1328125" style="4" bestFit="1" customWidth="1"/>
    <col min="6403" max="6403" width="12.3984375" style="4" bestFit="1" customWidth="1"/>
    <col min="6404" max="6405" width="13.86328125" style="4" bestFit="1" customWidth="1"/>
    <col min="6406" max="6406" width="14.86328125" style="4" bestFit="1" customWidth="1"/>
    <col min="6407" max="6645" width="9.1328125" style="4"/>
    <col min="6646" max="6646" width="15.3984375" style="4" bestFit="1" customWidth="1"/>
    <col min="6647" max="6647" width="11.1328125" style="4" bestFit="1" customWidth="1"/>
    <col min="6648" max="6648" width="14.59765625" style="4" bestFit="1" customWidth="1"/>
    <col min="6649" max="6649" width="17.3984375" style="4" bestFit="1" customWidth="1"/>
    <col min="6650" max="6650" width="17.59765625" style="4" bestFit="1" customWidth="1"/>
    <col min="6651" max="6651" width="14.73046875" style="4" bestFit="1" customWidth="1"/>
    <col min="6652" max="6652" width="14.3984375" style="4" bestFit="1" customWidth="1"/>
    <col min="6653" max="6653" width="12.1328125" style="4" bestFit="1" customWidth="1"/>
    <col min="6654" max="6654" width="12.3984375" style="4" bestFit="1" customWidth="1"/>
    <col min="6655" max="6656" width="13.86328125" style="4" bestFit="1" customWidth="1"/>
    <col min="6657" max="6657" width="14.86328125" style="4" bestFit="1" customWidth="1"/>
    <col min="6658" max="6658" width="12.1328125" style="4" bestFit="1" customWidth="1"/>
    <col min="6659" max="6659" width="12.3984375" style="4" bestFit="1" customWidth="1"/>
    <col min="6660" max="6661" width="13.86328125" style="4" bestFit="1" customWidth="1"/>
    <col min="6662" max="6662" width="14.86328125" style="4" bestFit="1" customWidth="1"/>
    <col min="6663" max="6901" width="9.1328125" style="4"/>
    <col min="6902" max="6902" width="15.3984375" style="4" bestFit="1" customWidth="1"/>
    <col min="6903" max="6903" width="11.1328125" style="4" bestFit="1" customWidth="1"/>
    <col min="6904" max="6904" width="14.59765625" style="4" bestFit="1" customWidth="1"/>
    <col min="6905" max="6905" width="17.3984375" style="4" bestFit="1" customWidth="1"/>
    <col min="6906" max="6906" width="17.59765625" style="4" bestFit="1" customWidth="1"/>
    <col min="6907" max="6907" width="14.73046875" style="4" bestFit="1" customWidth="1"/>
    <col min="6908" max="6908" width="14.3984375" style="4" bestFit="1" customWidth="1"/>
    <col min="6909" max="6909" width="12.1328125" style="4" bestFit="1" customWidth="1"/>
    <col min="6910" max="6910" width="12.3984375" style="4" bestFit="1" customWidth="1"/>
    <col min="6911" max="6912" width="13.86328125" style="4" bestFit="1" customWidth="1"/>
    <col min="6913" max="6913" width="14.86328125" style="4" bestFit="1" customWidth="1"/>
    <col min="6914" max="6914" width="12.1328125" style="4" bestFit="1" customWidth="1"/>
    <col min="6915" max="6915" width="12.3984375" style="4" bestFit="1" customWidth="1"/>
    <col min="6916" max="6917" width="13.86328125" style="4" bestFit="1" customWidth="1"/>
    <col min="6918" max="6918" width="14.86328125" style="4" bestFit="1" customWidth="1"/>
    <col min="6919" max="7157" width="9.1328125" style="4"/>
    <col min="7158" max="7158" width="15.3984375" style="4" bestFit="1" customWidth="1"/>
    <col min="7159" max="7159" width="11.1328125" style="4" bestFit="1" customWidth="1"/>
    <col min="7160" max="7160" width="14.59765625" style="4" bestFit="1" customWidth="1"/>
    <col min="7161" max="7161" width="17.3984375" style="4" bestFit="1" customWidth="1"/>
    <col min="7162" max="7162" width="17.59765625" style="4" bestFit="1" customWidth="1"/>
    <col min="7163" max="7163" width="14.73046875" style="4" bestFit="1" customWidth="1"/>
    <col min="7164" max="7164" width="14.3984375" style="4" bestFit="1" customWidth="1"/>
    <col min="7165" max="7165" width="12.1328125" style="4" bestFit="1" customWidth="1"/>
    <col min="7166" max="7166" width="12.3984375" style="4" bestFit="1" customWidth="1"/>
    <col min="7167" max="7168" width="13.86328125" style="4" bestFit="1" customWidth="1"/>
    <col min="7169" max="7169" width="14.86328125" style="4" bestFit="1" customWidth="1"/>
    <col min="7170" max="7170" width="12.1328125" style="4" bestFit="1" customWidth="1"/>
    <col min="7171" max="7171" width="12.3984375" style="4" bestFit="1" customWidth="1"/>
    <col min="7172" max="7173" width="13.86328125" style="4" bestFit="1" customWidth="1"/>
    <col min="7174" max="7174" width="14.86328125" style="4" bestFit="1" customWidth="1"/>
    <col min="7175" max="7413" width="9.1328125" style="4"/>
    <col min="7414" max="7414" width="15.3984375" style="4" bestFit="1" customWidth="1"/>
    <col min="7415" max="7415" width="11.1328125" style="4" bestFit="1" customWidth="1"/>
    <col min="7416" max="7416" width="14.59765625" style="4" bestFit="1" customWidth="1"/>
    <col min="7417" max="7417" width="17.3984375" style="4" bestFit="1" customWidth="1"/>
    <col min="7418" max="7418" width="17.59765625" style="4" bestFit="1" customWidth="1"/>
    <col min="7419" max="7419" width="14.73046875" style="4" bestFit="1" customWidth="1"/>
    <col min="7420" max="7420" width="14.3984375" style="4" bestFit="1" customWidth="1"/>
    <col min="7421" max="7421" width="12.1328125" style="4" bestFit="1" customWidth="1"/>
    <col min="7422" max="7422" width="12.3984375" style="4" bestFit="1" customWidth="1"/>
    <col min="7423" max="7424" width="13.86328125" style="4" bestFit="1" customWidth="1"/>
    <col min="7425" max="7425" width="14.86328125" style="4" bestFit="1" customWidth="1"/>
    <col min="7426" max="7426" width="12.1328125" style="4" bestFit="1" customWidth="1"/>
    <col min="7427" max="7427" width="12.3984375" style="4" bestFit="1" customWidth="1"/>
    <col min="7428" max="7429" width="13.86328125" style="4" bestFit="1" customWidth="1"/>
    <col min="7430" max="7430" width="14.86328125" style="4" bestFit="1" customWidth="1"/>
    <col min="7431" max="7669" width="9.1328125" style="4"/>
    <col min="7670" max="7670" width="15.3984375" style="4" bestFit="1" customWidth="1"/>
    <col min="7671" max="7671" width="11.1328125" style="4" bestFit="1" customWidth="1"/>
    <col min="7672" max="7672" width="14.59765625" style="4" bestFit="1" customWidth="1"/>
    <col min="7673" max="7673" width="17.3984375" style="4" bestFit="1" customWidth="1"/>
    <col min="7674" max="7674" width="17.59765625" style="4" bestFit="1" customWidth="1"/>
    <col min="7675" max="7675" width="14.73046875" style="4" bestFit="1" customWidth="1"/>
    <col min="7676" max="7676" width="14.3984375" style="4" bestFit="1" customWidth="1"/>
    <col min="7677" max="7677" width="12.1328125" style="4" bestFit="1" customWidth="1"/>
    <col min="7678" max="7678" width="12.3984375" style="4" bestFit="1" customWidth="1"/>
    <col min="7679" max="7680" width="13.86328125" style="4" bestFit="1" customWidth="1"/>
    <col min="7681" max="7681" width="14.86328125" style="4" bestFit="1" customWidth="1"/>
    <col min="7682" max="7682" width="12.1328125" style="4" bestFit="1" customWidth="1"/>
    <col min="7683" max="7683" width="12.3984375" style="4" bestFit="1" customWidth="1"/>
    <col min="7684" max="7685" width="13.86328125" style="4" bestFit="1" customWidth="1"/>
    <col min="7686" max="7686" width="14.86328125" style="4" bestFit="1" customWidth="1"/>
    <col min="7687" max="7925" width="9.1328125" style="4"/>
    <col min="7926" max="7926" width="15.3984375" style="4" bestFit="1" customWidth="1"/>
    <col min="7927" max="7927" width="11.1328125" style="4" bestFit="1" customWidth="1"/>
    <col min="7928" max="7928" width="14.59765625" style="4" bestFit="1" customWidth="1"/>
    <col min="7929" max="7929" width="17.3984375" style="4" bestFit="1" customWidth="1"/>
    <col min="7930" max="7930" width="17.59765625" style="4" bestFit="1" customWidth="1"/>
    <col min="7931" max="7931" width="14.73046875" style="4" bestFit="1" customWidth="1"/>
    <col min="7932" max="7932" width="14.3984375" style="4" bestFit="1" customWidth="1"/>
    <col min="7933" max="7933" width="12.1328125" style="4" bestFit="1" customWidth="1"/>
    <col min="7934" max="7934" width="12.3984375" style="4" bestFit="1" customWidth="1"/>
    <col min="7935" max="7936" width="13.86328125" style="4" bestFit="1" customWidth="1"/>
    <col min="7937" max="7937" width="14.86328125" style="4" bestFit="1" customWidth="1"/>
    <col min="7938" max="7938" width="12.1328125" style="4" bestFit="1" customWidth="1"/>
    <col min="7939" max="7939" width="12.3984375" style="4" bestFit="1" customWidth="1"/>
    <col min="7940" max="7941" width="13.86328125" style="4" bestFit="1" customWidth="1"/>
    <col min="7942" max="7942" width="14.86328125" style="4" bestFit="1" customWidth="1"/>
    <col min="7943" max="8181" width="9.1328125" style="4"/>
    <col min="8182" max="8182" width="15.3984375" style="4" bestFit="1" customWidth="1"/>
    <col min="8183" max="8183" width="11.1328125" style="4" bestFit="1" customWidth="1"/>
    <col min="8184" max="8184" width="14.59765625" style="4" bestFit="1" customWidth="1"/>
    <col min="8185" max="8185" width="17.3984375" style="4" bestFit="1" customWidth="1"/>
    <col min="8186" max="8186" width="17.59765625" style="4" bestFit="1" customWidth="1"/>
    <col min="8187" max="8187" width="14.73046875" style="4" bestFit="1" customWidth="1"/>
    <col min="8188" max="8188" width="14.3984375" style="4" bestFit="1" customWidth="1"/>
    <col min="8189" max="8189" width="12.1328125" style="4" bestFit="1" customWidth="1"/>
    <col min="8190" max="8190" width="12.3984375" style="4" bestFit="1" customWidth="1"/>
    <col min="8191" max="8192" width="13.86328125" style="4" bestFit="1" customWidth="1"/>
    <col min="8193" max="8193" width="14.86328125" style="4" bestFit="1" customWidth="1"/>
    <col min="8194" max="8194" width="12.1328125" style="4" bestFit="1" customWidth="1"/>
    <col min="8195" max="8195" width="12.3984375" style="4" bestFit="1" customWidth="1"/>
    <col min="8196" max="8197" width="13.86328125" style="4" bestFit="1" customWidth="1"/>
    <col min="8198" max="8198" width="14.86328125" style="4" bestFit="1" customWidth="1"/>
    <col min="8199" max="8437" width="9.1328125" style="4"/>
    <col min="8438" max="8438" width="15.3984375" style="4" bestFit="1" customWidth="1"/>
    <col min="8439" max="8439" width="11.1328125" style="4" bestFit="1" customWidth="1"/>
    <col min="8440" max="8440" width="14.59765625" style="4" bestFit="1" customWidth="1"/>
    <col min="8441" max="8441" width="17.3984375" style="4" bestFit="1" customWidth="1"/>
    <col min="8442" max="8442" width="17.59765625" style="4" bestFit="1" customWidth="1"/>
    <col min="8443" max="8443" width="14.73046875" style="4" bestFit="1" customWidth="1"/>
    <col min="8444" max="8444" width="14.3984375" style="4" bestFit="1" customWidth="1"/>
    <col min="8445" max="8445" width="12.1328125" style="4" bestFit="1" customWidth="1"/>
    <col min="8446" max="8446" width="12.3984375" style="4" bestFit="1" customWidth="1"/>
    <col min="8447" max="8448" width="13.86328125" style="4" bestFit="1" customWidth="1"/>
    <col min="8449" max="8449" width="14.86328125" style="4" bestFit="1" customWidth="1"/>
    <col min="8450" max="8450" width="12.1328125" style="4" bestFit="1" customWidth="1"/>
    <col min="8451" max="8451" width="12.3984375" style="4" bestFit="1" customWidth="1"/>
    <col min="8452" max="8453" width="13.86328125" style="4" bestFit="1" customWidth="1"/>
    <col min="8454" max="8454" width="14.86328125" style="4" bestFit="1" customWidth="1"/>
    <col min="8455" max="8693" width="9.1328125" style="4"/>
    <col min="8694" max="8694" width="15.3984375" style="4" bestFit="1" customWidth="1"/>
    <col min="8695" max="8695" width="11.1328125" style="4" bestFit="1" customWidth="1"/>
    <col min="8696" max="8696" width="14.59765625" style="4" bestFit="1" customWidth="1"/>
    <col min="8697" max="8697" width="17.3984375" style="4" bestFit="1" customWidth="1"/>
    <col min="8698" max="8698" width="17.59765625" style="4" bestFit="1" customWidth="1"/>
    <col min="8699" max="8699" width="14.73046875" style="4" bestFit="1" customWidth="1"/>
    <col min="8700" max="8700" width="14.3984375" style="4" bestFit="1" customWidth="1"/>
    <col min="8701" max="8701" width="12.1328125" style="4" bestFit="1" customWidth="1"/>
    <col min="8702" max="8702" width="12.3984375" style="4" bestFit="1" customWidth="1"/>
    <col min="8703" max="8704" width="13.86328125" style="4" bestFit="1" customWidth="1"/>
    <col min="8705" max="8705" width="14.86328125" style="4" bestFit="1" customWidth="1"/>
    <col min="8706" max="8706" width="12.1328125" style="4" bestFit="1" customWidth="1"/>
    <col min="8707" max="8707" width="12.3984375" style="4" bestFit="1" customWidth="1"/>
    <col min="8708" max="8709" width="13.86328125" style="4" bestFit="1" customWidth="1"/>
    <col min="8710" max="8710" width="14.86328125" style="4" bestFit="1" customWidth="1"/>
    <col min="8711" max="8949" width="9.1328125" style="4"/>
    <col min="8950" max="8950" width="15.3984375" style="4" bestFit="1" customWidth="1"/>
    <col min="8951" max="8951" width="11.1328125" style="4" bestFit="1" customWidth="1"/>
    <col min="8952" max="8952" width="14.59765625" style="4" bestFit="1" customWidth="1"/>
    <col min="8953" max="8953" width="17.3984375" style="4" bestFit="1" customWidth="1"/>
    <col min="8954" max="8954" width="17.59765625" style="4" bestFit="1" customWidth="1"/>
    <col min="8955" max="8955" width="14.73046875" style="4" bestFit="1" customWidth="1"/>
    <col min="8956" max="8956" width="14.3984375" style="4" bestFit="1" customWidth="1"/>
    <col min="8957" max="8957" width="12.1328125" style="4" bestFit="1" customWidth="1"/>
    <col min="8958" max="8958" width="12.3984375" style="4" bestFit="1" customWidth="1"/>
    <col min="8959" max="8960" width="13.86328125" style="4" bestFit="1" customWidth="1"/>
    <col min="8961" max="8961" width="14.86328125" style="4" bestFit="1" customWidth="1"/>
    <col min="8962" max="8962" width="12.1328125" style="4" bestFit="1" customWidth="1"/>
    <col min="8963" max="8963" width="12.3984375" style="4" bestFit="1" customWidth="1"/>
    <col min="8964" max="8965" width="13.86328125" style="4" bestFit="1" customWidth="1"/>
    <col min="8966" max="8966" width="14.86328125" style="4" bestFit="1" customWidth="1"/>
    <col min="8967" max="9205" width="9.1328125" style="4"/>
    <col min="9206" max="9206" width="15.3984375" style="4" bestFit="1" customWidth="1"/>
    <col min="9207" max="9207" width="11.1328125" style="4" bestFit="1" customWidth="1"/>
    <col min="9208" max="9208" width="14.59765625" style="4" bestFit="1" customWidth="1"/>
    <col min="9209" max="9209" width="17.3984375" style="4" bestFit="1" customWidth="1"/>
    <col min="9210" max="9210" width="17.59765625" style="4" bestFit="1" customWidth="1"/>
    <col min="9211" max="9211" width="14.73046875" style="4" bestFit="1" customWidth="1"/>
    <col min="9212" max="9212" width="14.3984375" style="4" bestFit="1" customWidth="1"/>
    <col min="9213" max="9213" width="12.1328125" style="4" bestFit="1" customWidth="1"/>
    <col min="9214" max="9214" width="12.3984375" style="4" bestFit="1" customWidth="1"/>
    <col min="9215" max="9216" width="13.86328125" style="4" bestFit="1" customWidth="1"/>
    <col min="9217" max="9217" width="14.86328125" style="4" bestFit="1" customWidth="1"/>
    <col min="9218" max="9218" width="12.1328125" style="4" bestFit="1" customWidth="1"/>
    <col min="9219" max="9219" width="12.3984375" style="4" bestFit="1" customWidth="1"/>
    <col min="9220" max="9221" width="13.86328125" style="4" bestFit="1" customWidth="1"/>
    <col min="9222" max="9222" width="14.86328125" style="4" bestFit="1" customWidth="1"/>
    <col min="9223" max="9461" width="9.1328125" style="4"/>
    <col min="9462" max="9462" width="15.3984375" style="4" bestFit="1" customWidth="1"/>
    <col min="9463" max="9463" width="11.1328125" style="4" bestFit="1" customWidth="1"/>
    <col min="9464" max="9464" width="14.59765625" style="4" bestFit="1" customWidth="1"/>
    <col min="9465" max="9465" width="17.3984375" style="4" bestFit="1" customWidth="1"/>
    <col min="9466" max="9466" width="17.59765625" style="4" bestFit="1" customWidth="1"/>
    <col min="9467" max="9467" width="14.73046875" style="4" bestFit="1" customWidth="1"/>
    <col min="9468" max="9468" width="14.3984375" style="4" bestFit="1" customWidth="1"/>
    <col min="9469" max="9469" width="12.1328125" style="4" bestFit="1" customWidth="1"/>
    <col min="9470" max="9470" width="12.3984375" style="4" bestFit="1" customWidth="1"/>
    <col min="9471" max="9472" width="13.86328125" style="4" bestFit="1" customWidth="1"/>
    <col min="9473" max="9473" width="14.86328125" style="4" bestFit="1" customWidth="1"/>
    <col min="9474" max="9474" width="12.1328125" style="4" bestFit="1" customWidth="1"/>
    <col min="9475" max="9475" width="12.3984375" style="4" bestFit="1" customWidth="1"/>
    <col min="9476" max="9477" width="13.86328125" style="4" bestFit="1" customWidth="1"/>
    <col min="9478" max="9478" width="14.86328125" style="4" bestFit="1" customWidth="1"/>
    <col min="9479" max="9717" width="9.1328125" style="4"/>
    <col min="9718" max="9718" width="15.3984375" style="4" bestFit="1" customWidth="1"/>
    <col min="9719" max="9719" width="11.1328125" style="4" bestFit="1" customWidth="1"/>
    <col min="9720" max="9720" width="14.59765625" style="4" bestFit="1" customWidth="1"/>
    <col min="9721" max="9721" width="17.3984375" style="4" bestFit="1" customWidth="1"/>
    <col min="9722" max="9722" width="17.59765625" style="4" bestFit="1" customWidth="1"/>
    <col min="9723" max="9723" width="14.73046875" style="4" bestFit="1" customWidth="1"/>
    <col min="9724" max="9724" width="14.3984375" style="4" bestFit="1" customWidth="1"/>
    <col min="9725" max="9725" width="12.1328125" style="4" bestFit="1" customWidth="1"/>
    <col min="9726" max="9726" width="12.3984375" style="4" bestFit="1" customWidth="1"/>
    <col min="9727" max="9728" width="13.86328125" style="4" bestFit="1" customWidth="1"/>
    <col min="9729" max="9729" width="14.86328125" style="4" bestFit="1" customWidth="1"/>
    <col min="9730" max="9730" width="12.1328125" style="4" bestFit="1" customWidth="1"/>
    <col min="9731" max="9731" width="12.3984375" style="4" bestFit="1" customWidth="1"/>
    <col min="9732" max="9733" width="13.86328125" style="4" bestFit="1" customWidth="1"/>
    <col min="9734" max="9734" width="14.86328125" style="4" bestFit="1" customWidth="1"/>
    <col min="9735" max="9973" width="9.1328125" style="4"/>
    <col min="9974" max="9974" width="15.3984375" style="4" bestFit="1" customWidth="1"/>
    <col min="9975" max="9975" width="11.1328125" style="4" bestFit="1" customWidth="1"/>
    <col min="9976" max="9976" width="14.59765625" style="4" bestFit="1" customWidth="1"/>
    <col min="9977" max="9977" width="17.3984375" style="4" bestFit="1" customWidth="1"/>
    <col min="9978" max="9978" width="17.59765625" style="4" bestFit="1" customWidth="1"/>
    <col min="9979" max="9979" width="14.73046875" style="4" bestFit="1" customWidth="1"/>
    <col min="9980" max="9980" width="14.3984375" style="4" bestFit="1" customWidth="1"/>
    <col min="9981" max="9981" width="12.1328125" style="4" bestFit="1" customWidth="1"/>
    <col min="9982" max="9982" width="12.3984375" style="4" bestFit="1" customWidth="1"/>
    <col min="9983" max="9984" width="13.86328125" style="4" bestFit="1" customWidth="1"/>
    <col min="9985" max="9985" width="14.86328125" style="4" bestFit="1" customWidth="1"/>
    <col min="9986" max="9986" width="12.1328125" style="4" bestFit="1" customWidth="1"/>
    <col min="9987" max="9987" width="12.3984375" style="4" bestFit="1" customWidth="1"/>
    <col min="9988" max="9989" width="13.86328125" style="4" bestFit="1" customWidth="1"/>
    <col min="9990" max="9990" width="14.86328125" style="4" bestFit="1" customWidth="1"/>
    <col min="9991" max="10229" width="9.1328125" style="4"/>
    <col min="10230" max="10230" width="15.3984375" style="4" bestFit="1" customWidth="1"/>
    <col min="10231" max="10231" width="11.1328125" style="4" bestFit="1" customWidth="1"/>
    <col min="10232" max="10232" width="14.59765625" style="4" bestFit="1" customWidth="1"/>
    <col min="10233" max="10233" width="17.3984375" style="4" bestFit="1" customWidth="1"/>
    <col min="10234" max="10234" width="17.59765625" style="4" bestFit="1" customWidth="1"/>
    <col min="10235" max="10235" width="14.73046875" style="4" bestFit="1" customWidth="1"/>
    <col min="10236" max="10236" width="14.3984375" style="4" bestFit="1" customWidth="1"/>
    <col min="10237" max="10237" width="12.1328125" style="4" bestFit="1" customWidth="1"/>
    <col min="10238" max="10238" width="12.3984375" style="4" bestFit="1" customWidth="1"/>
    <col min="10239" max="10240" width="13.86328125" style="4" bestFit="1" customWidth="1"/>
    <col min="10241" max="10241" width="14.86328125" style="4" bestFit="1" customWidth="1"/>
    <col min="10242" max="10242" width="12.1328125" style="4" bestFit="1" customWidth="1"/>
    <col min="10243" max="10243" width="12.3984375" style="4" bestFit="1" customWidth="1"/>
    <col min="10244" max="10245" width="13.86328125" style="4" bestFit="1" customWidth="1"/>
    <col min="10246" max="10246" width="14.86328125" style="4" bestFit="1" customWidth="1"/>
    <col min="10247" max="10485" width="9.1328125" style="4"/>
    <col min="10486" max="10486" width="15.3984375" style="4" bestFit="1" customWidth="1"/>
    <col min="10487" max="10487" width="11.1328125" style="4" bestFit="1" customWidth="1"/>
    <col min="10488" max="10488" width="14.59765625" style="4" bestFit="1" customWidth="1"/>
    <col min="10489" max="10489" width="17.3984375" style="4" bestFit="1" customWidth="1"/>
    <col min="10490" max="10490" width="17.59765625" style="4" bestFit="1" customWidth="1"/>
    <col min="10491" max="10491" width="14.73046875" style="4" bestFit="1" customWidth="1"/>
    <col min="10492" max="10492" width="14.3984375" style="4" bestFit="1" customWidth="1"/>
    <col min="10493" max="10493" width="12.1328125" style="4" bestFit="1" customWidth="1"/>
    <col min="10494" max="10494" width="12.3984375" style="4" bestFit="1" customWidth="1"/>
    <col min="10495" max="10496" width="13.86328125" style="4" bestFit="1" customWidth="1"/>
    <col min="10497" max="10497" width="14.86328125" style="4" bestFit="1" customWidth="1"/>
    <col min="10498" max="10498" width="12.1328125" style="4" bestFit="1" customWidth="1"/>
    <col min="10499" max="10499" width="12.3984375" style="4" bestFit="1" customWidth="1"/>
    <col min="10500" max="10501" width="13.86328125" style="4" bestFit="1" customWidth="1"/>
    <col min="10502" max="10502" width="14.86328125" style="4" bestFit="1" customWidth="1"/>
    <col min="10503" max="10741" width="9.1328125" style="4"/>
    <col min="10742" max="10742" width="15.3984375" style="4" bestFit="1" customWidth="1"/>
    <col min="10743" max="10743" width="11.1328125" style="4" bestFit="1" customWidth="1"/>
    <col min="10744" max="10744" width="14.59765625" style="4" bestFit="1" customWidth="1"/>
    <col min="10745" max="10745" width="17.3984375" style="4" bestFit="1" customWidth="1"/>
    <col min="10746" max="10746" width="17.59765625" style="4" bestFit="1" customWidth="1"/>
    <col min="10747" max="10747" width="14.73046875" style="4" bestFit="1" customWidth="1"/>
    <col min="10748" max="10748" width="14.3984375" style="4" bestFit="1" customWidth="1"/>
    <col min="10749" max="10749" width="12.1328125" style="4" bestFit="1" customWidth="1"/>
    <col min="10750" max="10750" width="12.3984375" style="4" bestFit="1" customWidth="1"/>
    <col min="10751" max="10752" width="13.86328125" style="4" bestFit="1" customWidth="1"/>
    <col min="10753" max="10753" width="14.86328125" style="4" bestFit="1" customWidth="1"/>
    <col min="10754" max="10754" width="12.1328125" style="4" bestFit="1" customWidth="1"/>
    <col min="10755" max="10755" width="12.3984375" style="4" bestFit="1" customWidth="1"/>
    <col min="10756" max="10757" width="13.86328125" style="4" bestFit="1" customWidth="1"/>
    <col min="10758" max="10758" width="14.86328125" style="4" bestFit="1" customWidth="1"/>
    <col min="10759" max="10997" width="9.1328125" style="4"/>
    <col min="10998" max="10998" width="15.3984375" style="4" bestFit="1" customWidth="1"/>
    <col min="10999" max="10999" width="11.1328125" style="4" bestFit="1" customWidth="1"/>
    <col min="11000" max="11000" width="14.59765625" style="4" bestFit="1" customWidth="1"/>
    <col min="11001" max="11001" width="17.3984375" style="4" bestFit="1" customWidth="1"/>
    <col min="11002" max="11002" width="17.59765625" style="4" bestFit="1" customWidth="1"/>
    <col min="11003" max="11003" width="14.73046875" style="4" bestFit="1" customWidth="1"/>
    <col min="11004" max="11004" width="14.3984375" style="4" bestFit="1" customWidth="1"/>
    <col min="11005" max="11005" width="12.1328125" style="4" bestFit="1" customWidth="1"/>
    <col min="11006" max="11006" width="12.3984375" style="4" bestFit="1" customWidth="1"/>
    <col min="11007" max="11008" width="13.86328125" style="4" bestFit="1" customWidth="1"/>
    <col min="11009" max="11009" width="14.86328125" style="4" bestFit="1" customWidth="1"/>
    <col min="11010" max="11010" width="12.1328125" style="4" bestFit="1" customWidth="1"/>
    <col min="11011" max="11011" width="12.3984375" style="4" bestFit="1" customWidth="1"/>
    <col min="11012" max="11013" width="13.86328125" style="4" bestFit="1" customWidth="1"/>
    <col min="11014" max="11014" width="14.86328125" style="4" bestFit="1" customWidth="1"/>
    <col min="11015" max="11253" width="9.1328125" style="4"/>
    <col min="11254" max="11254" width="15.3984375" style="4" bestFit="1" customWidth="1"/>
    <col min="11255" max="11255" width="11.1328125" style="4" bestFit="1" customWidth="1"/>
    <col min="11256" max="11256" width="14.59765625" style="4" bestFit="1" customWidth="1"/>
    <col min="11257" max="11257" width="17.3984375" style="4" bestFit="1" customWidth="1"/>
    <col min="11258" max="11258" width="17.59765625" style="4" bestFit="1" customWidth="1"/>
    <col min="11259" max="11259" width="14.73046875" style="4" bestFit="1" customWidth="1"/>
    <col min="11260" max="11260" width="14.3984375" style="4" bestFit="1" customWidth="1"/>
    <col min="11261" max="11261" width="12.1328125" style="4" bestFit="1" customWidth="1"/>
    <col min="11262" max="11262" width="12.3984375" style="4" bestFit="1" customWidth="1"/>
    <col min="11263" max="11264" width="13.86328125" style="4" bestFit="1" customWidth="1"/>
    <col min="11265" max="11265" width="14.86328125" style="4" bestFit="1" customWidth="1"/>
    <col min="11266" max="11266" width="12.1328125" style="4" bestFit="1" customWidth="1"/>
    <col min="11267" max="11267" width="12.3984375" style="4" bestFit="1" customWidth="1"/>
    <col min="11268" max="11269" width="13.86328125" style="4" bestFit="1" customWidth="1"/>
    <col min="11270" max="11270" width="14.86328125" style="4" bestFit="1" customWidth="1"/>
    <col min="11271" max="11509" width="9.1328125" style="4"/>
    <col min="11510" max="11510" width="15.3984375" style="4" bestFit="1" customWidth="1"/>
    <col min="11511" max="11511" width="11.1328125" style="4" bestFit="1" customWidth="1"/>
    <col min="11512" max="11512" width="14.59765625" style="4" bestFit="1" customWidth="1"/>
    <col min="11513" max="11513" width="17.3984375" style="4" bestFit="1" customWidth="1"/>
    <col min="11514" max="11514" width="17.59765625" style="4" bestFit="1" customWidth="1"/>
    <col min="11515" max="11515" width="14.73046875" style="4" bestFit="1" customWidth="1"/>
    <col min="11516" max="11516" width="14.3984375" style="4" bestFit="1" customWidth="1"/>
    <col min="11517" max="11517" width="12.1328125" style="4" bestFit="1" customWidth="1"/>
    <col min="11518" max="11518" width="12.3984375" style="4" bestFit="1" customWidth="1"/>
    <col min="11519" max="11520" width="13.86328125" style="4" bestFit="1" customWidth="1"/>
    <col min="11521" max="11521" width="14.86328125" style="4" bestFit="1" customWidth="1"/>
    <col min="11522" max="11522" width="12.1328125" style="4" bestFit="1" customWidth="1"/>
    <col min="11523" max="11523" width="12.3984375" style="4" bestFit="1" customWidth="1"/>
    <col min="11524" max="11525" width="13.86328125" style="4" bestFit="1" customWidth="1"/>
    <col min="11526" max="11526" width="14.86328125" style="4" bestFit="1" customWidth="1"/>
    <col min="11527" max="11765" width="9.1328125" style="4"/>
    <col min="11766" max="11766" width="15.3984375" style="4" bestFit="1" customWidth="1"/>
    <col min="11767" max="11767" width="11.1328125" style="4" bestFit="1" customWidth="1"/>
    <col min="11768" max="11768" width="14.59765625" style="4" bestFit="1" customWidth="1"/>
    <col min="11769" max="11769" width="17.3984375" style="4" bestFit="1" customWidth="1"/>
    <col min="11770" max="11770" width="17.59765625" style="4" bestFit="1" customWidth="1"/>
    <col min="11771" max="11771" width="14.73046875" style="4" bestFit="1" customWidth="1"/>
    <col min="11772" max="11772" width="14.3984375" style="4" bestFit="1" customWidth="1"/>
    <col min="11773" max="11773" width="12.1328125" style="4" bestFit="1" customWidth="1"/>
    <col min="11774" max="11774" width="12.3984375" style="4" bestFit="1" customWidth="1"/>
    <col min="11775" max="11776" width="13.86328125" style="4" bestFit="1" customWidth="1"/>
    <col min="11777" max="11777" width="14.86328125" style="4" bestFit="1" customWidth="1"/>
    <col min="11778" max="11778" width="12.1328125" style="4" bestFit="1" customWidth="1"/>
    <col min="11779" max="11779" width="12.3984375" style="4" bestFit="1" customWidth="1"/>
    <col min="11780" max="11781" width="13.86328125" style="4" bestFit="1" customWidth="1"/>
    <col min="11782" max="11782" width="14.86328125" style="4" bestFit="1" customWidth="1"/>
    <col min="11783" max="12021" width="9.1328125" style="4"/>
    <col min="12022" max="12022" width="15.3984375" style="4" bestFit="1" customWidth="1"/>
    <col min="12023" max="12023" width="11.1328125" style="4" bestFit="1" customWidth="1"/>
    <col min="12024" max="12024" width="14.59765625" style="4" bestFit="1" customWidth="1"/>
    <col min="12025" max="12025" width="17.3984375" style="4" bestFit="1" customWidth="1"/>
    <col min="12026" max="12026" width="17.59765625" style="4" bestFit="1" customWidth="1"/>
    <col min="12027" max="12027" width="14.73046875" style="4" bestFit="1" customWidth="1"/>
    <col min="12028" max="12028" width="14.3984375" style="4" bestFit="1" customWidth="1"/>
    <col min="12029" max="12029" width="12.1328125" style="4" bestFit="1" customWidth="1"/>
    <col min="12030" max="12030" width="12.3984375" style="4" bestFit="1" customWidth="1"/>
    <col min="12031" max="12032" width="13.86328125" style="4" bestFit="1" customWidth="1"/>
    <col min="12033" max="12033" width="14.86328125" style="4" bestFit="1" customWidth="1"/>
    <col min="12034" max="12034" width="12.1328125" style="4" bestFit="1" customWidth="1"/>
    <col min="12035" max="12035" width="12.3984375" style="4" bestFit="1" customWidth="1"/>
    <col min="12036" max="12037" width="13.86328125" style="4" bestFit="1" customWidth="1"/>
    <col min="12038" max="12038" width="14.86328125" style="4" bestFit="1" customWidth="1"/>
    <col min="12039" max="12277" width="9.1328125" style="4"/>
    <col min="12278" max="12278" width="15.3984375" style="4" bestFit="1" customWidth="1"/>
    <col min="12279" max="12279" width="11.1328125" style="4" bestFit="1" customWidth="1"/>
    <col min="12280" max="12280" width="14.59765625" style="4" bestFit="1" customWidth="1"/>
    <col min="12281" max="12281" width="17.3984375" style="4" bestFit="1" customWidth="1"/>
    <col min="12282" max="12282" width="17.59765625" style="4" bestFit="1" customWidth="1"/>
    <col min="12283" max="12283" width="14.73046875" style="4" bestFit="1" customWidth="1"/>
    <col min="12284" max="12284" width="14.3984375" style="4" bestFit="1" customWidth="1"/>
    <col min="12285" max="12285" width="12.1328125" style="4" bestFit="1" customWidth="1"/>
    <col min="12286" max="12286" width="12.3984375" style="4" bestFit="1" customWidth="1"/>
    <col min="12287" max="12288" width="13.86328125" style="4" bestFit="1" customWidth="1"/>
    <col min="12289" max="12289" width="14.86328125" style="4" bestFit="1" customWidth="1"/>
    <col min="12290" max="12290" width="12.1328125" style="4" bestFit="1" customWidth="1"/>
    <col min="12291" max="12291" width="12.3984375" style="4" bestFit="1" customWidth="1"/>
    <col min="12292" max="12293" width="13.86328125" style="4" bestFit="1" customWidth="1"/>
    <col min="12294" max="12294" width="14.86328125" style="4" bestFit="1" customWidth="1"/>
    <col min="12295" max="12533" width="9.1328125" style="4"/>
    <col min="12534" max="12534" width="15.3984375" style="4" bestFit="1" customWidth="1"/>
    <col min="12535" max="12535" width="11.1328125" style="4" bestFit="1" customWidth="1"/>
    <col min="12536" max="12536" width="14.59765625" style="4" bestFit="1" customWidth="1"/>
    <col min="12537" max="12537" width="17.3984375" style="4" bestFit="1" customWidth="1"/>
    <col min="12538" max="12538" width="17.59765625" style="4" bestFit="1" customWidth="1"/>
    <col min="12539" max="12539" width="14.73046875" style="4" bestFit="1" customWidth="1"/>
    <col min="12540" max="12540" width="14.3984375" style="4" bestFit="1" customWidth="1"/>
    <col min="12541" max="12541" width="12.1328125" style="4" bestFit="1" customWidth="1"/>
    <col min="12542" max="12542" width="12.3984375" style="4" bestFit="1" customWidth="1"/>
    <col min="12543" max="12544" width="13.86328125" style="4" bestFit="1" customWidth="1"/>
    <col min="12545" max="12545" width="14.86328125" style="4" bestFit="1" customWidth="1"/>
    <col min="12546" max="12546" width="12.1328125" style="4" bestFit="1" customWidth="1"/>
    <col min="12547" max="12547" width="12.3984375" style="4" bestFit="1" customWidth="1"/>
    <col min="12548" max="12549" width="13.86328125" style="4" bestFit="1" customWidth="1"/>
    <col min="12550" max="12550" width="14.86328125" style="4" bestFit="1" customWidth="1"/>
    <col min="12551" max="12789" width="9.1328125" style="4"/>
    <col min="12790" max="12790" width="15.3984375" style="4" bestFit="1" customWidth="1"/>
    <col min="12791" max="12791" width="11.1328125" style="4" bestFit="1" customWidth="1"/>
    <col min="12792" max="12792" width="14.59765625" style="4" bestFit="1" customWidth="1"/>
    <col min="12793" max="12793" width="17.3984375" style="4" bestFit="1" customWidth="1"/>
    <col min="12794" max="12794" width="17.59765625" style="4" bestFit="1" customWidth="1"/>
    <col min="12795" max="12795" width="14.73046875" style="4" bestFit="1" customWidth="1"/>
    <col min="12796" max="12796" width="14.3984375" style="4" bestFit="1" customWidth="1"/>
    <col min="12797" max="12797" width="12.1328125" style="4" bestFit="1" customWidth="1"/>
    <col min="12798" max="12798" width="12.3984375" style="4" bestFit="1" customWidth="1"/>
    <col min="12799" max="12800" width="13.86328125" style="4" bestFit="1" customWidth="1"/>
    <col min="12801" max="12801" width="14.86328125" style="4" bestFit="1" customWidth="1"/>
    <col min="12802" max="12802" width="12.1328125" style="4" bestFit="1" customWidth="1"/>
    <col min="12803" max="12803" width="12.3984375" style="4" bestFit="1" customWidth="1"/>
    <col min="12804" max="12805" width="13.86328125" style="4" bestFit="1" customWidth="1"/>
    <col min="12806" max="12806" width="14.86328125" style="4" bestFit="1" customWidth="1"/>
    <col min="12807" max="13045" width="9.1328125" style="4"/>
    <col min="13046" max="13046" width="15.3984375" style="4" bestFit="1" customWidth="1"/>
    <col min="13047" max="13047" width="11.1328125" style="4" bestFit="1" customWidth="1"/>
    <col min="13048" max="13048" width="14.59765625" style="4" bestFit="1" customWidth="1"/>
    <col min="13049" max="13049" width="17.3984375" style="4" bestFit="1" customWidth="1"/>
    <col min="13050" max="13050" width="17.59765625" style="4" bestFit="1" customWidth="1"/>
    <col min="13051" max="13051" width="14.73046875" style="4" bestFit="1" customWidth="1"/>
    <col min="13052" max="13052" width="14.3984375" style="4" bestFit="1" customWidth="1"/>
    <col min="13053" max="13053" width="12.1328125" style="4" bestFit="1" customWidth="1"/>
    <col min="13054" max="13054" width="12.3984375" style="4" bestFit="1" customWidth="1"/>
    <col min="13055" max="13056" width="13.86328125" style="4" bestFit="1" customWidth="1"/>
    <col min="13057" max="13057" width="14.86328125" style="4" bestFit="1" customWidth="1"/>
    <col min="13058" max="13058" width="12.1328125" style="4" bestFit="1" customWidth="1"/>
    <col min="13059" max="13059" width="12.3984375" style="4" bestFit="1" customWidth="1"/>
    <col min="13060" max="13061" width="13.86328125" style="4" bestFit="1" customWidth="1"/>
    <col min="13062" max="13062" width="14.86328125" style="4" bestFit="1" customWidth="1"/>
    <col min="13063" max="13301" width="9.1328125" style="4"/>
    <col min="13302" max="13302" width="15.3984375" style="4" bestFit="1" customWidth="1"/>
    <col min="13303" max="13303" width="11.1328125" style="4" bestFit="1" customWidth="1"/>
    <col min="13304" max="13304" width="14.59765625" style="4" bestFit="1" customWidth="1"/>
    <col min="13305" max="13305" width="17.3984375" style="4" bestFit="1" customWidth="1"/>
    <col min="13306" max="13306" width="17.59765625" style="4" bestFit="1" customWidth="1"/>
    <col min="13307" max="13307" width="14.73046875" style="4" bestFit="1" customWidth="1"/>
    <col min="13308" max="13308" width="14.3984375" style="4" bestFit="1" customWidth="1"/>
    <col min="13309" max="13309" width="12.1328125" style="4" bestFit="1" customWidth="1"/>
    <col min="13310" max="13310" width="12.3984375" style="4" bestFit="1" customWidth="1"/>
    <col min="13311" max="13312" width="13.86328125" style="4" bestFit="1" customWidth="1"/>
    <col min="13313" max="13313" width="14.86328125" style="4" bestFit="1" customWidth="1"/>
    <col min="13314" max="13314" width="12.1328125" style="4" bestFit="1" customWidth="1"/>
    <col min="13315" max="13315" width="12.3984375" style="4" bestFit="1" customWidth="1"/>
    <col min="13316" max="13317" width="13.86328125" style="4" bestFit="1" customWidth="1"/>
    <col min="13318" max="13318" width="14.86328125" style="4" bestFit="1" customWidth="1"/>
    <col min="13319" max="13557" width="9.1328125" style="4"/>
    <col min="13558" max="13558" width="15.3984375" style="4" bestFit="1" customWidth="1"/>
    <col min="13559" max="13559" width="11.1328125" style="4" bestFit="1" customWidth="1"/>
    <col min="13560" max="13560" width="14.59765625" style="4" bestFit="1" customWidth="1"/>
    <col min="13561" max="13561" width="17.3984375" style="4" bestFit="1" customWidth="1"/>
    <col min="13562" max="13562" width="17.59765625" style="4" bestFit="1" customWidth="1"/>
    <col min="13563" max="13563" width="14.73046875" style="4" bestFit="1" customWidth="1"/>
    <col min="13564" max="13564" width="14.3984375" style="4" bestFit="1" customWidth="1"/>
    <col min="13565" max="13565" width="12.1328125" style="4" bestFit="1" customWidth="1"/>
    <col min="13566" max="13566" width="12.3984375" style="4" bestFit="1" customWidth="1"/>
    <col min="13567" max="13568" width="13.86328125" style="4" bestFit="1" customWidth="1"/>
    <col min="13569" max="13569" width="14.86328125" style="4" bestFit="1" customWidth="1"/>
    <col min="13570" max="13570" width="12.1328125" style="4" bestFit="1" customWidth="1"/>
    <col min="13571" max="13571" width="12.3984375" style="4" bestFit="1" customWidth="1"/>
    <col min="13572" max="13573" width="13.86328125" style="4" bestFit="1" customWidth="1"/>
    <col min="13574" max="13574" width="14.86328125" style="4" bestFit="1" customWidth="1"/>
    <col min="13575" max="13813" width="9.1328125" style="4"/>
    <col min="13814" max="13814" width="15.3984375" style="4" bestFit="1" customWidth="1"/>
    <col min="13815" max="13815" width="11.1328125" style="4" bestFit="1" customWidth="1"/>
    <col min="13816" max="13816" width="14.59765625" style="4" bestFit="1" customWidth="1"/>
    <col min="13817" max="13817" width="17.3984375" style="4" bestFit="1" customWidth="1"/>
    <col min="13818" max="13818" width="17.59765625" style="4" bestFit="1" customWidth="1"/>
    <col min="13819" max="13819" width="14.73046875" style="4" bestFit="1" customWidth="1"/>
    <col min="13820" max="13820" width="14.3984375" style="4" bestFit="1" customWidth="1"/>
    <col min="13821" max="13821" width="12.1328125" style="4" bestFit="1" customWidth="1"/>
    <col min="13822" max="13822" width="12.3984375" style="4" bestFit="1" customWidth="1"/>
    <col min="13823" max="13824" width="13.86328125" style="4" bestFit="1" customWidth="1"/>
    <col min="13825" max="13825" width="14.86328125" style="4" bestFit="1" customWidth="1"/>
    <col min="13826" max="13826" width="12.1328125" style="4" bestFit="1" customWidth="1"/>
    <col min="13827" max="13827" width="12.3984375" style="4" bestFit="1" customWidth="1"/>
    <col min="13828" max="13829" width="13.86328125" style="4" bestFit="1" customWidth="1"/>
    <col min="13830" max="13830" width="14.86328125" style="4" bestFit="1" customWidth="1"/>
    <col min="13831" max="14069" width="9.1328125" style="4"/>
    <col min="14070" max="14070" width="15.3984375" style="4" bestFit="1" customWidth="1"/>
    <col min="14071" max="14071" width="11.1328125" style="4" bestFit="1" customWidth="1"/>
    <col min="14072" max="14072" width="14.59765625" style="4" bestFit="1" customWidth="1"/>
    <col min="14073" max="14073" width="17.3984375" style="4" bestFit="1" customWidth="1"/>
    <col min="14074" max="14074" width="17.59765625" style="4" bestFit="1" customWidth="1"/>
    <col min="14075" max="14075" width="14.73046875" style="4" bestFit="1" customWidth="1"/>
    <col min="14076" max="14076" width="14.3984375" style="4" bestFit="1" customWidth="1"/>
    <col min="14077" max="14077" width="12.1328125" style="4" bestFit="1" customWidth="1"/>
    <col min="14078" max="14078" width="12.3984375" style="4" bestFit="1" customWidth="1"/>
    <col min="14079" max="14080" width="13.86328125" style="4" bestFit="1" customWidth="1"/>
    <col min="14081" max="14081" width="14.86328125" style="4" bestFit="1" customWidth="1"/>
    <col min="14082" max="14082" width="12.1328125" style="4" bestFit="1" customWidth="1"/>
    <col min="14083" max="14083" width="12.3984375" style="4" bestFit="1" customWidth="1"/>
    <col min="14084" max="14085" width="13.86328125" style="4" bestFit="1" customWidth="1"/>
    <col min="14086" max="14086" width="14.86328125" style="4" bestFit="1" customWidth="1"/>
    <col min="14087" max="14325" width="9.1328125" style="4"/>
    <col min="14326" max="14326" width="15.3984375" style="4" bestFit="1" customWidth="1"/>
    <col min="14327" max="14327" width="11.1328125" style="4" bestFit="1" customWidth="1"/>
    <col min="14328" max="14328" width="14.59765625" style="4" bestFit="1" customWidth="1"/>
    <col min="14329" max="14329" width="17.3984375" style="4" bestFit="1" customWidth="1"/>
    <col min="14330" max="14330" width="17.59765625" style="4" bestFit="1" customWidth="1"/>
    <col min="14331" max="14331" width="14.73046875" style="4" bestFit="1" customWidth="1"/>
    <col min="14332" max="14332" width="14.3984375" style="4" bestFit="1" customWidth="1"/>
    <col min="14333" max="14333" width="12.1328125" style="4" bestFit="1" customWidth="1"/>
    <col min="14334" max="14334" width="12.3984375" style="4" bestFit="1" customWidth="1"/>
    <col min="14335" max="14336" width="13.86328125" style="4" bestFit="1" customWidth="1"/>
    <col min="14337" max="14337" width="14.86328125" style="4" bestFit="1" customWidth="1"/>
    <col min="14338" max="14338" width="12.1328125" style="4" bestFit="1" customWidth="1"/>
    <col min="14339" max="14339" width="12.3984375" style="4" bestFit="1" customWidth="1"/>
    <col min="14340" max="14341" width="13.86328125" style="4" bestFit="1" customWidth="1"/>
    <col min="14342" max="14342" width="14.86328125" style="4" bestFit="1" customWidth="1"/>
    <col min="14343" max="14581" width="9.1328125" style="4"/>
    <col min="14582" max="14582" width="15.3984375" style="4" bestFit="1" customWidth="1"/>
    <col min="14583" max="14583" width="11.1328125" style="4" bestFit="1" customWidth="1"/>
    <col min="14584" max="14584" width="14.59765625" style="4" bestFit="1" customWidth="1"/>
    <col min="14585" max="14585" width="17.3984375" style="4" bestFit="1" customWidth="1"/>
    <col min="14586" max="14586" width="17.59765625" style="4" bestFit="1" customWidth="1"/>
    <col min="14587" max="14587" width="14.73046875" style="4" bestFit="1" customWidth="1"/>
    <col min="14588" max="14588" width="14.3984375" style="4" bestFit="1" customWidth="1"/>
    <col min="14589" max="14589" width="12.1328125" style="4" bestFit="1" customWidth="1"/>
    <col min="14590" max="14590" width="12.3984375" style="4" bestFit="1" customWidth="1"/>
    <col min="14591" max="14592" width="13.86328125" style="4" bestFit="1" customWidth="1"/>
    <col min="14593" max="14593" width="14.86328125" style="4" bestFit="1" customWidth="1"/>
    <col min="14594" max="14594" width="12.1328125" style="4" bestFit="1" customWidth="1"/>
    <col min="14595" max="14595" width="12.3984375" style="4" bestFit="1" customWidth="1"/>
    <col min="14596" max="14597" width="13.86328125" style="4" bestFit="1" customWidth="1"/>
    <col min="14598" max="14598" width="14.86328125" style="4" bestFit="1" customWidth="1"/>
    <col min="14599" max="14837" width="9.1328125" style="4"/>
    <col min="14838" max="14838" width="15.3984375" style="4" bestFit="1" customWidth="1"/>
    <col min="14839" max="14839" width="11.1328125" style="4" bestFit="1" customWidth="1"/>
    <col min="14840" max="14840" width="14.59765625" style="4" bestFit="1" customWidth="1"/>
    <col min="14841" max="14841" width="17.3984375" style="4" bestFit="1" customWidth="1"/>
    <col min="14842" max="14842" width="17.59765625" style="4" bestFit="1" customWidth="1"/>
    <col min="14843" max="14843" width="14.73046875" style="4" bestFit="1" customWidth="1"/>
    <col min="14844" max="14844" width="14.3984375" style="4" bestFit="1" customWidth="1"/>
    <col min="14845" max="14845" width="12.1328125" style="4" bestFit="1" customWidth="1"/>
    <col min="14846" max="14846" width="12.3984375" style="4" bestFit="1" customWidth="1"/>
    <col min="14847" max="14848" width="13.86328125" style="4" bestFit="1" customWidth="1"/>
    <col min="14849" max="14849" width="14.86328125" style="4" bestFit="1" customWidth="1"/>
    <col min="14850" max="14850" width="12.1328125" style="4" bestFit="1" customWidth="1"/>
    <col min="14851" max="14851" width="12.3984375" style="4" bestFit="1" customWidth="1"/>
    <col min="14852" max="14853" width="13.86328125" style="4" bestFit="1" customWidth="1"/>
    <col min="14854" max="14854" width="14.86328125" style="4" bestFit="1" customWidth="1"/>
    <col min="14855" max="15093" width="9.1328125" style="4"/>
    <col min="15094" max="15094" width="15.3984375" style="4" bestFit="1" customWidth="1"/>
    <col min="15095" max="15095" width="11.1328125" style="4" bestFit="1" customWidth="1"/>
    <col min="15096" max="15096" width="14.59765625" style="4" bestFit="1" customWidth="1"/>
    <col min="15097" max="15097" width="17.3984375" style="4" bestFit="1" customWidth="1"/>
    <col min="15098" max="15098" width="17.59765625" style="4" bestFit="1" customWidth="1"/>
    <col min="15099" max="15099" width="14.73046875" style="4" bestFit="1" customWidth="1"/>
    <col min="15100" max="15100" width="14.3984375" style="4" bestFit="1" customWidth="1"/>
    <col min="15101" max="15101" width="12.1328125" style="4" bestFit="1" customWidth="1"/>
    <col min="15102" max="15102" width="12.3984375" style="4" bestFit="1" customWidth="1"/>
    <col min="15103" max="15104" width="13.86328125" style="4" bestFit="1" customWidth="1"/>
    <col min="15105" max="15105" width="14.86328125" style="4" bestFit="1" customWidth="1"/>
    <col min="15106" max="15106" width="12.1328125" style="4" bestFit="1" customWidth="1"/>
    <col min="15107" max="15107" width="12.3984375" style="4" bestFit="1" customWidth="1"/>
    <col min="15108" max="15109" width="13.86328125" style="4" bestFit="1" customWidth="1"/>
    <col min="15110" max="15110" width="14.86328125" style="4" bestFit="1" customWidth="1"/>
    <col min="15111" max="15349" width="9.1328125" style="4"/>
    <col min="15350" max="15350" width="15.3984375" style="4" bestFit="1" customWidth="1"/>
    <col min="15351" max="15351" width="11.1328125" style="4" bestFit="1" customWidth="1"/>
    <col min="15352" max="15352" width="14.59765625" style="4" bestFit="1" customWidth="1"/>
    <col min="15353" max="15353" width="17.3984375" style="4" bestFit="1" customWidth="1"/>
    <col min="15354" max="15354" width="17.59765625" style="4" bestFit="1" customWidth="1"/>
    <col min="15355" max="15355" width="14.73046875" style="4" bestFit="1" customWidth="1"/>
    <col min="15356" max="15356" width="14.3984375" style="4" bestFit="1" customWidth="1"/>
    <col min="15357" max="15357" width="12.1328125" style="4" bestFit="1" customWidth="1"/>
    <col min="15358" max="15358" width="12.3984375" style="4" bestFit="1" customWidth="1"/>
    <col min="15359" max="15360" width="13.86328125" style="4" bestFit="1" customWidth="1"/>
    <col min="15361" max="15361" width="14.86328125" style="4" bestFit="1" customWidth="1"/>
    <col min="15362" max="15362" width="12.1328125" style="4" bestFit="1" customWidth="1"/>
    <col min="15363" max="15363" width="12.3984375" style="4" bestFit="1" customWidth="1"/>
    <col min="15364" max="15365" width="13.86328125" style="4" bestFit="1" customWidth="1"/>
    <col min="15366" max="15366" width="14.86328125" style="4" bestFit="1" customWidth="1"/>
    <col min="15367" max="15605" width="9.1328125" style="4"/>
    <col min="15606" max="15606" width="15.3984375" style="4" bestFit="1" customWidth="1"/>
    <col min="15607" max="15607" width="11.1328125" style="4" bestFit="1" customWidth="1"/>
    <col min="15608" max="15608" width="14.59765625" style="4" bestFit="1" customWidth="1"/>
    <col min="15609" max="15609" width="17.3984375" style="4" bestFit="1" customWidth="1"/>
    <col min="15610" max="15610" width="17.59765625" style="4" bestFit="1" customWidth="1"/>
    <col min="15611" max="15611" width="14.73046875" style="4" bestFit="1" customWidth="1"/>
    <col min="15612" max="15612" width="14.3984375" style="4" bestFit="1" customWidth="1"/>
    <col min="15613" max="15613" width="12.1328125" style="4" bestFit="1" customWidth="1"/>
    <col min="15614" max="15614" width="12.3984375" style="4" bestFit="1" customWidth="1"/>
    <col min="15615" max="15616" width="13.86328125" style="4" bestFit="1" customWidth="1"/>
    <col min="15617" max="15617" width="14.86328125" style="4" bestFit="1" customWidth="1"/>
    <col min="15618" max="15618" width="12.1328125" style="4" bestFit="1" customWidth="1"/>
    <col min="15619" max="15619" width="12.3984375" style="4" bestFit="1" customWidth="1"/>
    <col min="15620" max="15621" width="13.86328125" style="4" bestFit="1" customWidth="1"/>
    <col min="15622" max="15622" width="14.86328125" style="4" bestFit="1" customWidth="1"/>
    <col min="15623" max="15861" width="9.1328125" style="4"/>
    <col min="15862" max="15862" width="15.3984375" style="4" bestFit="1" customWidth="1"/>
    <col min="15863" max="15863" width="11.1328125" style="4" bestFit="1" customWidth="1"/>
    <col min="15864" max="15864" width="14.59765625" style="4" bestFit="1" customWidth="1"/>
    <col min="15865" max="15865" width="17.3984375" style="4" bestFit="1" customWidth="1"/>
    <col min="15866" max="15866" width="17.59765625" style="4" bestFit="1" customWidth="1"/>
    <col min="15867" max="15867" width="14.73046875" style="4" bestFit="1" customWidth="1"/>
    <col min="15868" max="15868" width="14.3984375" style="4" bestFit="1" customWidth="1"/>
    <col min="15869" max="15869" width="12.1328125" style="4" bestFit="1" customWidth="1"/>
    <col min="15870" max="15870" width="12.3984375" style="4" bestFit="1" customWidth="1"/>
    <col min="15871" max="15872" width="13.86328125" style="4" bestFit="1" customWidth="1"/>
    <col min="15873" max="15873" width="14.86328125" style="4" bestFit="1" customWidth="1"/>
    <col min="15874" max="15874" width="12.1328125" style="4" bestFit="1" customWidth="1"/>
    <col min="15875" max="15875" width="12.3984375" style="4" bestFit="1" customWidth="1"/>
    <col min="15876" max="15877" width="13.86328125" style="4" bestFit="1" customWidth="1"/>
    <col min="15878" max="15878" width="14.86328125" style="4" bestFit="1" customWidth="1"/>
    <col min="15879" max="16117" width="9.1328125" style="4"/>
    <col min="16118" max="16118" width="15.3984375" style="4" bestFit="1" customWidth="1"/>
    <col min="16119" max="16119" width="11.1328125" style="4" bestFit="1" customWidth="1"/>
    <col min="16120" max="16120" width="14.59765625" style="4" bestFit="1" customWidth="1"/>
    <col min="16121" max="16121" width="17.3984375" style="4" bestFit="1" customWidth="1"/>
    <col min="16122" max="16122" width="17.59765625" style="4" bestFit="1" customWidth="1"/>
    <col min="16123" max="16123" width="14.73046875" style="4" bestFit="1" customWidth="1"/>
    <col min="16124" max="16124" width="14.3984375" style="4" bestFit="1" customWidth="1"/>
    <col min="16125" max="16125" width="12.1328125" style="4" bestFit="1" customWidth="1"/>
    <col min="16126" max="16126" width="12.3984375" style="4" bestFit="1" customWidth="1"/>
    <col min="16127" max="16128" width="13.86328125" style="4" bestFit="1" customWidth="1"/>
    <col min="16129" max="16129" width="14.86328125" style="4" bestFit="1" customWidth="1"/>
    <col min="16130" max="16130" width="12.1328125" style="4" bestFit="1" customWidth="1"/>
    <col min="16131" max="16131" width="12.3984375" style="4" bestFit="1" customWidth="1"/>
    <col min="16132" max="16133" width="13.86328125" style="4" bestFit="1" customWidth="1"/>
    <col min="16134" max="16134" width="14.86328125" style="4" bestFit="1" customWidth="1"/>
    <col min="16135" max="16384" width="9.1328125" style="4"/>
  </cols>
  <sheetData>
    <row r="1" spans="1:8">
      <c r="A1" s="57" t="s">
        <v>323</v>
      </c>
      <c r="B1" s="87" t="s">
        <v>324</v>
      </c>
      <c r="C1" s="58" t="s">
        <v>198</v>
      </c>
      <c r="D1" s="58" t="s">
        <v>200</v>
      </c>
      <c r="E1" s="58" t="s">
        <v>199</v>
      </c>
      <c r="F1" s="58" t="s">
        <v>201</v>
      </c>
      <c r="G1" s="58" t="s">
        <v>213</v>
      </c>
      <c r="H1" s="58" t="s">
        <v>214</v>
      </c>
    </row>
    <row r="2" spans="1:8" ht="15" customHeight="1">
      <c r="A2" s="60" t="s">
        <v>5</v>
      </c>
      <c r="B2" s="76" t="s">
        <v>6</v>
      </c>
      <c r="C2" s="61">
        <f>IFERROR((st_DL/(k_decay_res_state*Rad_Spec!X2*st_IFDres_adj))*1,".")</f>
        <v>0.78806410614903932</v>
      </c>
      <c r="D2" s="61">
        <f>IFERROR((st_DL/(k_decay_res_state*Rad_Spec!AN2*st_IFAres_adj*(1/s_PEFm_pp_state)*st_SLF*(st_ET_res_o+st_ET_res_i)*(1/24)))*1,".")</f>
        <v>2.785769229798118E-3</v>
      </c>
      <c r="E2" s="61">
        <f>IFERROR((st_DL/(k_decay_res_state*Rad_Spec!AN2*st_IFAres_adj*(1/s_PEF)*st_SLF*(st_ET_res_o+st_ET_res_i)*(1/24)))*1,".")</f>
        <v>0.25742892473799317</v>
      </c>
      <c r="F2" s="61">
        <f>IFERROR((st_DL/(k_decay_res_state*Rad_Spec!AY2*st_Fam*st_Foffset*st_EF_res*(1/365)*acf!H2*((st_ET_res_o*st_GSF_s)+(st_ET_res_i*st_GSF_i))*(1/24)))*1,".")</f>
        <v>1061.5777249823602</v>
      </c>
      <c r="G2" s="61">
        <f t="shared" ref="G2" si="0">(IF(AND(C2&lt;&gt;".",E2&lt;&gt;".",F2&lt;&gt;"."),1/((1/C2)+(1/E2)+(1/F2)),IF(AND(C2&lt;&gt;".",E2&lt;&gt;".",F2="."), 1/((1/C2)+(1/E2)),IF(AND(C2&lt;&gt;".",E2=".",F2&lt;&gt;"."),1/((1/C2)+(1/F2)),IF(AND(C2=".",E2&lt;&gt;".",F2&lt;&gt;"."),1/((1/E2)+(1/F2)),IF(AND(C2&lt;&gt;".",E2=".",F2="."),1/(1/C2),IF(AND(C2=".",E2&lt;&gt;".",F2="."),1/(1/E2),IF(AND(C2=".",E2=".",F2&lt;&gt;"."),1/(1/F2),IF(AND(C2=".",E2=".",F2="."),".")))))))))</f>
        <v>0.19400743391947917</v>
      </c>
      <c r="H2" s="61">
        <f t="shared" ref="H2" si="1">(IF(AND(C2&lt;&gt;".",D2&lt;&gt;".",F2&lt;&gt;"."),1/((1/C2)+(1/D2)+(1/F2)),IF(AND(C2&lt;&gt;".",D2&lt;&gt;".",F2="."), 1/((1/C2)+(1/D2)),IF(AND(C2&lt;&gt;".",D2=".",F2&lt;&gt;"."),1/((1/C2)+(1/F2)),IF(AND(C2=".",D2&lt;&gt;".",F2&lt;&gt;"."),1/((1/D2)+(1/F2)),IF(AND(C2&lt;&gt;".",D2=".",F2="."),1/(1/C2),IF(AND(C2=".",D2&lt;&gt;".",F2="."),1/(1/D2),IF(AND(C2=".",D2=".",F2&lt;&gt;"."),1/(1/F2),IF(AND(C2=".",D2=".",F2="."),".")))))))))</f>
        <v>2.7759490968452772E-3</v>
      </c>
    </row>
    <row r="3" spans="1:8" ht="15" customHeight="1">
      <c r="A3" s="62" t="s">
        <v>7</v>
      </c>
      <c r="B3" s="76" t="s">
        <v>8</v>
      </c>
      <c r="C3" s="61">
        <f>IFERROR((st_DL/(k_decay_res_state*Rad_Spec!X3*st_IFDres_adj))*1,".")</f>
        <v>0.17317543172938973</v>
      </c>
      <c r="D3" s="61">
        <f>IFERROR((st_DL/(k_decay_res_state*Rad_Spec!AN3*st_IFAres_adj*(1/s_PEFm_pp_state)*st_SLF*(st_ET_res_o+st_ET_res_i)*(1/24)))*1,".")</f>
        <v>2.6068666187101659E-4</v>
      </c>
      <c r="E3" s="61">
        <f>IFERROR((st_DL/(k_decay_res_state*Rad_Spec!AN3*st_IFAres_adj*(1/s_PEF)*st_SLF*(st_ET_res_o+st_ET_res_i)*(1/24)))*1,".")</f>
        <v>2.4089679195665414E-2</v>
      </c>
      <c r="F3" s="61">
        <f>IFERROR((st_DL/(k_decay_res_state*Rad_Spec!AY3*st_Fam*st_Foffset*st_EF_res*(1/365)*acf!H3*((st_ET_res_o*st_GSF_s)+(st_ET_res_i*st_GSF_i))*(1/24)))*1,".")</f>
        <v>639.75416966597345</v>
      </c>
      <c r="G3" s="61">
        <f t="shared" ref="G3" si="2">(IF(AND(C3&lt;&gt;".",E3&lt;&gt;".",F3&lt;&gt;"."),1/((1/C3)+(1/E3)+(1/F3)),IF(AND(C3&lt;&gt;".",E3&lt;&gt;".",F3="."), 1/((1/C3)+(1/E3)),IF(AND(C3&lt;&gt;".",E3=".",F3&lt;&gt;"."),1/((1/C3)+(1/F3)),IF(AND(C3=".",E3&lt;&gt;".",F3&lt;&gt;"."),1/((1/E3)+(1/F3)),IF(AND(C3&lt;&gt;".",E3=".",F3="."),1/(1/C3),IF(AND(C3=".",E3&lt;&gt;".",F3="."),1/(1/E3),IF(AND(C3=".",E3=".",F3&lt;&gt;"."),1/(1/F3),IF(AND(C3=".",E3=".",F3="."),".")))))))))</f>
        <v>2.114718957514097E-2</v>
      </c>
      <c r="H3" s="61">
        <f t="shared" ref="H3" si="3">(IF(AND(C3&lt;&gt;".",D3&lt;&gt;".",F3&lt;&gt;"."),1/((1/C3)+(1/D3)+(1/F3)),IF(AND(C3&lt;&gt;".",D3&lt;&gt;".",F3="."), 1/((1/C3)+(1/D3)),IF(AND(C3&lt;&gt;".",D3=".",F3&lt;&gt;"."),1/((1/C3)+(1/F3)),IF(AND(C3=".",D3&lt;&gt;".",F3&lt;&gt;"."),1/((1/D3)+(1/F3)),IF(AND(C3&lt;&gt;".",D3=".",F3="."),1/(1/C3),IF(AND(C3=".",D3&lt;&gt;".",F3="."),1/(1/D3),IF(AND(C3=".",D3=".",F3&lt;&gt;"."),1/(1/F3),IF(AND(C3=".",D3=".",F3="."),".")))))))))</f>
        <v>2.602947256116258E-4</v>
      </c>
    </row>
    <row r="4" spans="1:8" ht="15" customHeight="1">
      <c r="A4" s="60" t="s">
        <v>9</v>
      </c>
      <c r="B4" s="88" t="s">
        <v>6</v>
      </c>
      <c r="C4" s="61" t="str">
        <f>IFERROR((st_DL/(k_decay_res_state*Rad_Spec!X4*st_IFDres_adj))*1,".")</f>
        <v>.</v>
      </c>
      <c r="D4" s="61" t="str">
        <f>IFERROR((st_DL/(k_decay_res_state*Rad_Spec!AN4*st_IFAres_adj*(1/s_PEFm_pp_state)*st_SLF*(st_ET_res_o+st_ET_res_i)*(1/24)))*1,".")</f>
        <v>.</v>
      </c>
      <c r="E4" s="61" t="str">
        <f>IFERROR((st_DL/(k_decay_res_state*Rad_Spec!AN4*st_IFAres_adj*(1/s_PEF)*st_SLF*(st_ET_res_o+st_ET_res_i)*(1/24)))*1,".")</f>
        <v>.</v>
      </c>
      <c r="F4" s="61">
        <f>IFERROR((st_DL/(k_decay_res_state*Rad_Spec!AY4*st_Fam*st_Foffset*st_EF_res*(1/365)*acf!H4*((st_ET_res_o*st_GSF_s)+(st_ET_res_i*st_GSF_i))*(1/24)))*1,".")</f>
        <v>66251.79814565026</v>
      </c>
      <c r="G4" s="61">
        <f t="shared" ref="G4:G13" si="4">(IF(AND(C4&lt;&gt;".",E4&lt;&gt;".",F4&lt;&gt;"."),1/((1/C4)+(1/E4)+(1/F4)),IF(AND(C4&lt;&gt;".",E4&lt;&gt;".",F4="."), 1/((1/C4)+(1/E4)),IF(AND(C4&lt;&gt;".",E4=".",F4&lt;&gt;"."),1/((1/C4)+(1/F4)),IF(AND(C4=".",E4&lt;&gt;".",F4&lt;&gt;"."),1/((1/E4)+(1/F4)),IF(AND(C4&lt;&gt;".",E4=".",F4="."),1/(1/C4),IF(AND(C4=".",E4&lt;&gt;".",F4="."),1/(1/E4),IF(AND(C4=".",E4=".",F4&lt;&gt;"."),1/(1/F4),IF(AND(C4=".",E4=".",F4="."),".")))))))))</f>
        <v>66251.79814565026</v>
      </c>
      <c r="H4" s="61">
        <f t="shared" ref="H4:H13" si="5">(IF(AND(C4&lt;&gt;".",D4&lt;&gt;".",F4&lt;&gt;"."),1/((1/C4)+(1/D4)+(1/F4)),IF(AND(C4&lt;&gt;".",D4&lt;&gt;".",F4="."), 1/((1/C4)+(1/D4)),IF(AND(C4&lt;&gt;".",D4=".",F4&lt;&gt;"."),1/((1/C4)+(1/F4)),IF(AND(C4=".",D4&lt;&gt;".",F4&lt;&gt;"."),1/((1/D4)+(1/F4)),IF(AND(C4&lt;&gt;".",D4=".",F4="."),1/(1/C4),IF(AND(C4=".",D4&lt;&gt;".",F4="."),1/(1/D4),IF(AND(C4=".",D4=".",F4&lt;&gt;"."),1/(1/F4),IF(AND(C4=".",D4=".",F4="."),".")))))))))</f>
        <v>66251.79814565026</v>
      </c>
    </row>
    <row r="5" spans="1:8" ht="15" customHeight="1">
      <c r="A5" s="60" t="s">
        <v>10</v>
      </c>
      <c r="B5" s="88" t="s">
        <v>6</v>
      </c>
      <c r="C5" s="61" t="str">
        <f>IFERROR((st_DL/(k_decay_res_state*Rad_Spec!X5*st_IFDres_adj))*1,".")</f>
        <v>.</v>
      </c>
      <c r="D5" s="61" t="str">
        <f>IFERROR((st_DL/(k_decay_res_state*Rad_Spec!AN5*st_IFAres_adj*(1/s_PEFm_pp_state)*st_SLF*(st_ET_res_o+st_ET_res_i)*(1/24)))*1,".")</f>
        <v>.</v>
      </c>
      <c r="E5" s="61" t="str">
        <f>IFERROR((st_DL/(k_decay_res_state*Rad_Spec!AN5*st_IFAres_adj*(1/s_PEF)*st_SLF*(st_ET_res_o+st_ET_res_i)*(1/24)))*1,".")</f>
        <v>.</v>
      </c>
      <c r="F5" s="61">
        <f>IFERROR((st_DL/(k_decay_res_state*Rad_Spec!AY5*st_Fam*st_Foffset*st_EF_res*(1/365)*acf!H5*((st_ET_res_o*st_GSF_s)+(st_ET_res_i*st_GSF_i))*(1/24)))*1,".")</f>
        <v>122211.69960106109</v>
      </c>
      <c r="G5" s="61">
        <f t="shared" si="4"/>
        <v>122211.69960106107</v>
      </c>
      <c r="H5" s="61">
        <f t="shared" si="5"/>
        <v>122211.69960106107</v>
      </c>
    </row>
    <row r="6" spans="1:8" ht="15" customHeight="1">
      <c r="A6" s="60" t="s">
        <v>11</v>
      </c>
      <c r="B6" s="88" t="s">
        <v>6</v>
      </c>
      <c r="C6" s="61" t="str">
        <f>IFERROR((st_DL/(k_decay_res_state*Rad_Spec!X6*st_IFDres_adj))*1,".")</f>
        <v>.</v>
      </c>
      <c r="D6" s="61" t="str">
        <f>IFERROR((st_DL/(k_decay_res_state*Rad_Spec!AN6*st_IFAres_adj*(1/s_PEFm_pp_state)*st_SLF*(st_ET_res_o+st_ET_res_i)*(1/24)))*1,".")</f>
        <v>.</v>
      </c>
      <c r="E6" s="61" t="str">
        <f>IFERROR((st_DL/(k_decay_res_state*Rad_Spec!AN6*st_IFAres_adj*(1/s_PEF)*st_SLF*(st_ET_res_o+st_ET_res_i)*(1/24)))*1,".")</f>
        <v>.</v>
      </c>
      <c r="F6" s="61">
        <f>IFERROR((st_DL/(k_decay_res_state*Rad_Spec!AY6*st_Fam*st_Foffset*st_EF_res*(1/365)*acf!H6*((st_ET_res_o*st_GSF_s)+(st_ET_res_i*st_GSF_i))*(1/24)))*1,".")</f>
        <v>26.882989513631628</v>
      </c>
      <c r="G6" s="61">
        <f t="shared" si="4"/>
        <v>26.882989513631632</v>
      </c>
      <c r="H6" s="61">
        <f t="shared" si="5"/>
        <v>26.882989513631632</v>
      </c>
    </row>
    <row r="7" spans="1:8" ht="15" customHeight="1">
      <c r="A7" s="60" t="s">
        <v>12</v>
      </c>
      <c r="B7" s="88" t="s">
        <v>6</v>
      </c>
      <c r="C7" s="61">
        <f>IFERROR((st_DL/(k_decay_res_state*Rad_Spec!X7*st_IFDres_adj))*1,".")</f>
        <v>22.897640417552644</v>
      </c>
      <c r="D7" s="61">
        <f>IFERROR((st_DL/(k_decay_res_state*Rad_Spec!AN7*st_IFAres_adj*(1/s_PEFm_pp_state)*st_SLF*(st_ET_res_o+st_ET_res_i)*(1/24)))*1,".")</f>
        <v>0.17516001047634747</v>
      </c>
      <c r="E7" s="61">
        <f>IFERROR((st_DL/(k_decay_res_state*Rad_Spec!AN7*st_IFAres_adj*(1/s_PEF)*st_SLF*(st_ET_res_o+st_ET_res_i)*(1/24)))*1,".")</f>
        <v>16.186284445854639</v>
      </c>
      <c r="F7" s="61">
        <f>IFERROR((st_DL/(k_decay_res_state*Rad_Spec!AY7*st_Fam*st_Foffset*st_EF_res*(1/365)*acf!H7*((st_ET_res_o*st_GSF_s)+(st_ET_res_i*st_GSF_i))*(1/24)))*1,".")</f>
        <v>430.45564699057383</v>
      </c>
      <c r="G7" s="61">
        <f t="shared" si="4"/>
        <v>9.2784654274973626</v>
      </c>
      <c r="H7" s="61">
        <f t="shared" si="5"/>
        <v>0.17376009237201251</v>
      </c>
    </row>
    <row r="8" spans="1:8" ht="15" customHeight="1">
      <c r="A8" s="60" t="s">
        <v>13</v>
      </c>
      <c r="B8" s="88" t="s">
        <v>6</v>
      </c>
      <c r="C8" s="61">
        <f>IFERROR((st_DL/(k_decay_res_state*Rad_Spec!X8*st_IFDres_adj))*1,".")</f>
        <v>153.79012220744315</v>
      </c>
      <c r="D8" s="61">
        <f>IFERROR((st_DL/(k_decay_res_state*Rad_Spec!AN8*st_IFAres_adj*(1/s_PEFm_pp_state)*st_SLF*(st_ET_res_o+st_ET_res_i)*(1/24)))*1,".")</f>
        <v>0.72037638111399238</v>
      </c>
      <c r="E8" s="61">
        <f>IFERROR((st_DL/(k_decay_res_state*Rad_Spec!AN8*st_IFAres_adj*(1/s_PEF)*st_SLF*(st_ET_res_o+st_ET_res_i)*(1/24)))*1,".")</f>
        <v>66.568944481543042</v>
      </c>
      <c r="F8" s="61">
        <f>IFERROR((st_DL/(k_decay_res_state*Rad_Spec!AY8*st_Fam*st_Foffset*st_EF_res*(1/365)*acf!H8*((st_ET_res_o*st_GSF_s)+(st_ET_res_i*st_GSF_i))*(1/24)))*1,".")</f>
        <v>94.524518025047215</v>
      </c>
      <c r="G8" s="61">
        <f t="shared" si="4"/>
        <v>31.149102450621228</v>
      </c>
      <c r="H8" s="61">
        <f t="shared" si="5"/>
        <v>0.71161975368059227</v>
      </c>
    </row>
    <row r="9" spans="1:8" ht="15" customHeight="1">
      <c r="A9" s="60" t="s">
        <v>14</v>
      </c>
      <c r="B9" s="88" t="s">
        <v>6</v>
      </c>
      <c r="C9" s="61">
        <f>IFERROR((st_DL/(k_decay_res_state*Rad_Spec!X9*st_IFDres_adj))*1,".")</f>
        <v>276.61579027915946</v>
      </c>
      <c r="D9" s="61">
        <f>IFERROR((st_DL/(k_decay_res_state*Rad_Spec!AN9*st_IFAres_adj*(1/s_PEFm_pp_state)*st_SLF*(st_ET_res_o+st_ET_res_i)*(1/24)))*1,".")</f>
        <v>2.5852851819487133</v>
      </c>
      <c r="E9" s="61">
        <f>IFERROR((st_DL/(k_decay_res_state*Rad_Spec!AN9*st_IFAres_adj*(1/s_PEF)*st_SLF*(st_ET_res_o+st_ET_res_i)*(1/24)))*1,".")</f>
        <v>238.90248244947207</v>
      </c>
      <c r="F9" s="61">
        <f>IFERROR((st_DL/(k_decay_res_state*Rad_Spec!AY9*st_Fam*st_Foffset*st_EF_res*(1/365)*acf!H9*((st_ET_res_o*st_GSF_s)+(st_ET_res_i*st_GSF_i))*(1/24)))*1,".")</f>
        <v>11.182334148182791</v>
      </c>
      <c r="G9" s="61">
        <f t="shared" si="4"/>
        <v>10.285134918411654</v>
      </c>
      <c r="H9" s="61">
        <f t="shared" si="5"/>
        <v>2.0840001575917331</v>
      </c>
    </row>
    <row r="10" spans="1:8" ht="15" customHeight="1">
      <c r="A10" s="62" t="s">
        <v>15</v>
      </c>
      <c r="B10" s="88" t="s">
        <v>8</v>
      </c>
      <c r="C10" s="61">
        <f>IFERROR((st_DL/(k_decay_res_state*Rad_Spec!X10*st_IFDres_adj))*1,".")</f>
        <v>3.0989287783153951</v>
      </c>
      <c r="D10" s="61">
        <f>IFERROR((st_DL/(k_decay_res_state*Rad_Spec!AN10*st_IFAres_adj*(1/s_PEFm_pp_state)*st_SLF*(st_ET_res_o+st_ET_res_i)*(1/24)))*1,".")</f>
        <v>0.61327006066059286</v>
      </c>
      <c r="E10" s="61">
        <f>IFERROR((st_DL/(k_decay_res_state*Rad_Spec!AN10*st_IFAres_adj*(1/s_PEF)*st_SLF*(st_ET_res_o+st_ET_res_i)*(1/24)))*1,".")</f>
        <v>56.671403575414324</v>
      </c>
      <c r="F10" s="61">
        <f>IFERROR((st_DL/(k_decay_res_state*Rad_Spec!AY10*st_Fam*st_Foffset*st_EF_res*(1/365)*acf!H10*((st_ET_res_o*st_GSF_s)+(st_ET_res_i*st_GSF_i))*(1/24)))*1,".")</f>
        <v>4852.5504228295458</v>
      </c>
      <c r="G10" s="61">
        <f t="shared" si="4"/>
        <v>2.9364797081375755</v>
      </c>
      <c r="H10" s="61">
        <f t="shared" si="5"/>
        <v>0.51190139276952773</v>
      </c>
    </row>
    <row r="11" spans="1:8" ht="15" customHeight="1">
      <c r="A11" s="60" t="s">
        <v>16</v>
      </c>
      <c r="B11" s="88" t="s">
        <v>6</v>
      </c>
      <c r="C11" s="61" t="str">
        <f>IFERROR((st_DL/(k_decay_res_state*Rad_Spec!X11*st_IFDres_adj))*1,".")</f>
        <v>.</v>
      </c>
      <c r="D11" s="61" t="str">
        <f>IFERROR((st_DL/(k_decay_res_state*Rad_Spec!AN11*st_IFAres_adj*(1/s_PEFm_pp_state)*st_SLF*(st_ET_res_o+st_ET_res_i)*(1/24)))*1,".")</f>
        <v>.</v>
      </c>
      <c r="E11" s="61" t="str">
        <f>IFERROR((st_DL/(k_decay_res_state*Rad_Spec!AN11*st_IFAres_adj*(1/s_PEF)*st_SLF*(st_ET_res_o+st_ET_res_i)*(1/24)))*1,".")</f>
        <v>.</v>
      </c>
      <c r="F11" s="61">
        <f>IFERROR((st_DL/(k_decay_res_state*Rad_Spec!AY11*st_Fam*st_Foffset*st_EF_res*(1/365)*acf!H11*((st_ET_res_o*st_GSF_s)+(st_ET_res_i*st_GSF_i))*(1/24)))*1,".")</f>
        <v>551.03875357413847</v>
      </c>
      <c r="G11" s="61">
        <f t="shared" si="4"/>
        <v>551.03875357413847</v>
      </c>
      <c r="H11" s="61">
        <f t="shared" si="5"/>
        <v>551.03875357413847</v>
      </c>
    </row>
    <row r="12" spans="1:8" ht="15" customHeight="1">
      <c r="A12" s="60" t="s">
        <v>17</v>
      </c>
      <c r="B12" s="88" t="s">
        <v>6</v>
      </c>
      <c r="C12" s="61" t="str">
        <f>IFERROR((st_DL/(k_decay_res_state*Rad_Spec!X12*st_IFDres_adj))*1,".")</f>
        <v>.</v>
      </c>
      <c r="D12" s="61" t="str">
        <f>IFERROR((st_DL/(k_decay_res_state*Rad_Spec!AN12*st_IFAres_adj*(1/s_PEFm_pp_state)*st_SLF*(st_ET_res_o+st_ET_res_i)*(1/24)))*1,".")</f>
        <v>.</v>
      </c>
      <c r="E12" s="61" t="str">
        <f>IFERROR((st_DL/(k_decay_res_state*Rad_Spec!AN12*st_IFAres_adj*(1/s_PEF)*st_SLF*(st_ET_res_o+st_ET_res_i)*(1/24)))*1,".")</f>
        <v>.</v>
      </c>
      <c r="F12" s="61">
        <f>IFERROR((st_DL/(k_decay_res_state*Rad_Spec!AY12*st_Fam*st_Foffset*st_EF_res*(1/365)*acf!H12*((st_ET_res_o*st_GSF_s)+(st_ET_res_i*st_GSF_i))*(1/24)))*1,".")</f>
        <v>102.31735567887768</v>
      </c>
      <c r="G12" s="61">
        <f t="shared" si="4"/>
        <v>102.31735567887768</v>
      </c>
      <c r="H12" s="61">
        <f t="shared" si="5"/>
        <v>102.31735567887768</v>
      </c>
    </row>
    <row r="13" spans="1:8" ht="15" customHeight="1">
      <c r="A13" s="60" t="s">
        <v>18</v>
      </c>
      <c r="B13" s="88" t="s">
        <v>6</v>
      </c>
      <c r="C13" s="61">
        <f>IFERROR((st_DL/(k_decay_res_state*Rad_Spec!X13*st_IFDres_adj))*1,".")</f>
        <v>0.32972602201275808</v>
      </c>
      <c r="D13" s="61">
        <f>IFERROR((st_DL/(k_decay_res_state*Rad_Spec!AN13*st_IFAres_adj*(1/s_PEFm_pp_state)*st_SLF*(st_ET_res_o+st_ET_res_i)*(1/24)))*1,".")</f>
        <v>2.0296318674243433E-3</v>
      </c>
      <c r="E13" s="61">
        <f>IFERROR((st_DL/(k_decay_res_state*Rad_Spec!AN13*st_IFAres_adj*(1/s_PEF)*st_SLF*(st_ET_res_o+st_ET_res_i)*(1/24)))*1,".")</f>
        <v>0.18755535945196644</v>
      </c>
      <c r="F13" s="61">
        <f>IFERROR((st_DL/(k_decay_res_state*Rad_Spec!AY13*st_Fam*st_Foffset*st_EF_res*(1/365)*acf!H13*((st_ET_res_o*st_GSF_s)+(st_ET_res_i*st_GSF_i))*(1/24)))*1,".")</f>
        <v>569.34561641759649</v>
      </c>
      <c r="G13" s="61">
        <f t="shared" si="4"/>
        <v>0.11952662884131222</v>
      </c>
      <c r="H13" s="61">
        <f t="shared" si="5"/>
        <v>2.0172077337487692E-3</v>
      </c>
    </row>
    <row r="14" spans="1:8" ht="15" customHeight="1">
      <c r="A14" s="60" t="s">
        <v>19</v>
      </c>
      <c r="B14" s="88" t="s">
        <v>6</v>
      </c>
      <c r="C14" s="61">
        <f>IFERROR((st_DL/(k_decay_res_state*Rad_Spec!X14*st_IFDres_adj))*1,".")</f>
        <v>31.224055114844511</v>
      </c>
      <c r="D14" s="61">
        <f>IFERROR((st_DL/(k_decay_res_state*Rad_Spec!AN14*st_IFAres_adj*(1/s_PEFm_pp_state)*st_SLF*(st_ET_res_o+st_ET_res_i)*(1/24)))*1,".")</f>
        <v>5.6081933178830541</v>
      </c>
      <c r="E14" s="61">
        <f>IFERROR((st_DL/(k_decay_res_state*Rad_Spec!AN14*st_IFAres_adj*(1/s_PEF)*st_SLF*(st_ET_res_o+st_ET_res_i)*(1/24)))*1,".")</f>
        <v>518.2450721699073</v>
      </c>
      <c r="F14" s="61">
        <f>IFERROR((st_DL/(k_decay_res_state*Rad_Spec!AY14*st_Fam*st_Foffset*st_EF_res*(1/365)*acf!H14*((st_ET_res_o*st_GSF_s)+(st_ET_res_i*st_GSF_i))*(1/24)))*1,".")</f>
        <v>73.026406204996704</v>
      </c>
      <c r="G14" s="61">
        <f t="shared" ref="G14:G30" si="6">(IF(AND(C14&lt;&gt;".",E14&lt;&gt;".",F14&lt;&gt;"."),1/((1/C14)+(1/E14)+(1/F14)),IF(AND(C14&lt;&gt;".",E14&lt;&gt;".",F14="."), 1/((1/C14)+(1/E14)),IF(AND(C14&lt;&gt;".",E14=".",F14&lt;&gt;"."),1/((1/C14)+(1/F14)),IF(AND(C14=".",E14&lt;&gt;".",F14&lt;&gt;"."),1/((1/E14)+(1/F14)),IF(AND(C14&lt;&gt;".",E14=".",F14="."),1/(1/C14),IF(AND(C14=".",E14&lt;&gt;".",F14="."),1/(1/E14),IF(AND(C14=".",E14=".",F14&lt;&gt;"."),1/(1/F14),IF(AND(C14=".",E14=".",F14="."),".")))))))))</f>
        <v>20.986422554677372</v>
      </c>
      <c r="H14" s="61">
        <f t="shared" ref="H14:H30" si="7">(IF(AND(C14&lt;&gt;".",D14&lt;&gt;".",F14&lt;&gt;"."),1/((1/C14)+(1/D14)+(1/F14)),IF(AND(C14&lt;&gt;".",D14&lt;&gt;".",F14="."), 1/((1/C14)+(1/D14)),IF(AND(C14&lt;&gt;".",D14=".",F14&lt;&gt;"."),1/((1/C14)+(1/F14)),IF(AND(C14=".",D14&lt;&gt;".",F14&lt;&gt;"."),1/((1/D14)+(1/F14)),IF(AND(C14&lt;&gt;".",D14=".",F14="."),1/(1/C14),IF(AND(C14=".",D14&lt;&gt;".",F14="."),1/(1/D14),IF(AND(C14=".",D14=".",F14&lt;&gt;"."),1/(1/F14),IF(AND(C14=".",D14=".",F14="."),".")))))))))</f>
        <v>4.4636717574929223</v>
      </c>
    </row>
    <row r="15" spans="1:8" ht="15" customHeight="1">
      <c r="A15" s="60" t="s">
        <v>20</v>
      </c>
      <c r="B15" s="88" t="s">
        <v>6</v>
      </c>
      <c r="C15" s="61">
        <f>IFERROR((st_DL/(k_decay_res_state*Rad_Spec!X15*st_IFDres_adj))*1,".")</f>
        <v>551.7503715072927</v>
      </c>
      <c r="D15" s="61">
        <f>IFERROR((st_DL/(k_decay_res_state*Rad_Spec!AN15*st_IFAres_adj*(1/s_PEFm_pp_state)*st_SLF*(st_ET_res_o+st_ET_res_i)*(1/24)))*1,".")</f>
        <v>366.3805376725893</v>
      </c>
      <c r="E15" s="61">
        <f>IFERROR((st_DL/(k_decay_res_state*Rad_Spec!AN15*st_IFAres_adj*(1/s_PEF)*st_SLF*(st_ET_res_o+st_ET_res_i)*(1/24)))*1,".")</f>
        <v>33856.698124567018</v>
      </c>
      <c r="F15" s="61">
        <f>IFERROR((st_DL/(k_decay_res_state*Rad_Spec!AY15*st_Fam*st_Foffset*st_EF_res*(1/365)*acf!H15*((st_ET_res_o*st_GSF_s)+(st_ET_res_i*st_GSF_i))*(1/24)))*1,".")</f>
        <v>4788.8597022359354</v>
      </c>
      <c r="G15" s="61">
        <f t="shared" si="6"/>
        <v>487.62218536241824</v>
      </c>
      <c r="H15" s="61">
        <f t="shared" si="7"/>
        <v>210.49820110737357</v>
      </c>
    </row>
    <row r="16" spans="1:8" ht="15" customHeight="1">
      <c r="A16" s="62" t="s">
        <v>21</v>
      </c>
      <c r="B16" s="88" t="s">
        <v>6</v>
      </c>
      <c r="C16" s="61">
        <f>IFERROR((st_DL/(k_decay_res_state*Rad_Spec!X16*st_IFDres_adj))*1,".")</f>
        <v>4.0407600736857605E-2</v>
      </c>
      <c r="D16" s="61">
        <f>IFERROR((st_DL/(k_decay_res_state*Rad_Spec!AN16*st_IFAres_adj*(1/s_PEFm_pp_state)*st_SLF*(st_ET_res_o+st_ET_res_i)*(1/24)))*1,".")</f>
        <v>4.2410218125284787E-3</v>
      </c>
      <c r="E16" s="61">
        <f>IFERROR((st_DL/(k_decay_res_state*Rad_Spec!AN16*st_IFAres_adj*(1/s_PEF)*st_SLF*(st_ET_res_o+st_ET_res_i)*(1/24)))*1,".")</f>
        <v>0.39190672124291492</v>
      </c>
      <c r="F16" s="61">
        <f>IFERROR((st_DL/(k_decay_res_state*Rad_Spec!AY16*st_Fam*st_Foffset*st_EF_res*(1/365)*acf!H16*((st_ET_res_o*st_GSF_s)+(st_ET_res_i*st_GSF_i))*(1/24)))*1,".")</f>
        <v>6335.860002359158</v>
      </c>
      <c r="G16" s="61">
        <f t="shared" ref="G16" si="8">(IF(AND(C16&lt;&gt;".",E16&lt;&gt;".",F16&lt;&gt;"."),1/((1/C16)+(1/E16)+(1/F16)),IF(AND(C16&lt;&gt;".",E16&lt;&gt;".",F16="."), 1/((1/C16)+(1/E16)),IF(AND(C16&lt;&gt;".",E16=".",F16&lt;&gt;"."),1/((1/C16)+(1/F16)),IF(AND(C16=".",E16&lt;&gt;".",F16&lt;&gt;"."),1/((1/E16)+(1/F16)),IF(AND(C16&lt;&gt;".",E16=".",F16="."),1/(1/C16),IF(AND(C16=".",E16&lt;&gt;".",F16="."),1/(1/E16),IF(AND(C16=".",E16=".",F16&lt;&gt;"."),1/(1/F16),IF(AND(C16=".",E16=".",F16="."),".")))))))))</f>
        <v>3.6630567060974409E-2</v>
      </c>
      <c r="H16" s="61">
        <f t="shared" ref="H16" si="9">(IF(AND(C16&lt;&gt;".",D16&lt;&gt;".",F16&lt;&gt;"."),1/((1/C16)+(1/D16)+(1/F16)),IF(AND(C16&lt;&gt;".",D16&lt;&gt;".",F16="."), 1/((1/C16)+(1/D16)),IF(AND(C16&lt;&gt;".",D16=".",F16&lt;&gt;"."),1/((1/C16)+(1/F16)),IF(AND(C16=".",D16&lt;&gt;".",F16&lt;&gt;"."),1/((1/D16)+(1/F16)),IF(AND(C16&lt;&gt;".",D16=".",F16="."),1/(1/C16),IF(AND(C16=".",D16&lt;&gt;".",F16="."),1/(1/D16),IF(AND(C16=".",D16=".",F16&lt;&gt;"."),1/(1/F16),IF(AND(C16=".",D16=".",F16="."),".")))))))))</f>
        <v>3.8381791535459808E-3</v>
      </c>
    </row>
    <row r="17" spans="1:8" ht="15" customHeight="1">
      <c r="A17" s="60" t="s">
        <v>22</v>
      </c>
      <c r="B17" s="88" t="s">
        <v>6</v>
      </c>
      <c r="C17" s="61">
        <f>IFERROR((st_DL/(k_decay_res_state*Rad_Spec!X17*st_IFDres_adj))*1,".")</f>
        <v>207.11433543514954</v>
      </c>
      <c r="D17" s="61">
        <f>IFERROR((st_DL/(k_decay_res_state*Rad_Spec!AN17*st_IFAres_adj*(1/s_PEFm_pp_state)*st_SLF*(st_ET_res_o+st_ET_res_i)*(1/24)))*1,".")</f>
        <v>2.0305029540627229</v>
      </c>
      <c r="E17" s="61">
        <f>IFERROR((st_DL/(k_decay_res_state*Rad_Spec!AN17*st_IFAres_adj*(1/s_PEF)*st_SLF*(st_ET_res_o+st_ET_res_i)*(1/24)))*1,".")</f>
        <v>187.63585531439219</v>
      </c>
      <c r="F17" s="61">
        <f>IFERROR((st_DL/(k_decay_res_state*Rad_Spec!AY17*st_Fam*st_Foffset*st_EF_res*(1/365)*acf!H17*((st_ET_res_o*st_GSF_s)+(st_ET_res_i*st_GSF_i))*(1/24)))*1,".")</f>
        <v>62.748593887702974</v>
      </c>
      <c r="G17" s="61">
        <f t="shared" si="6"/>
        <v>38.322494272938215</v>
      </c>
      <c r="H17" s="61">
        <f t="shared" si="7"/>
        <v>1.9483542673273282</v>
      </c>
    </row>
    <row r="18" spans="1:8" ht="15" customHeight="1">
      <c r="A18" s="60" t="s">
        <v>23</v>
      </c>
      <c r="B18" s="88" t="s">
        <v>6</v>
      </c>
      <c r="C18" s="61">
        <f>IFERROR((st_DL/(k_decay_res_state*Rad_Spec!X18*st_IFDres_adj))*1,".")</f>
        <v>2.3551858715197008E-2</v>
      </c>
      <c r="D18" s="61">
        <f>IFERROR((st_DL/(k_decay_res_state*Rad_Spec!AN18*st_IFAres_adj*(1/s_PEFm_pp_state)*st_SLF*(st_ET_res_o+st_ET_res_i)*(1/24)))*1,".")</f>
        <v>5.464393489219386E-3</v>
      </c>
      <c r="E18" s="61">
        <f>IFERROR((st_DL/(k_decay_res_state*Rad_Spec!AN18*st_IFAres_adj*(1/s_PEF)*st_SLF*(st_ET_res_o+st_ET_res_i)*(1/24)))*1,".")</f>
        <v>0.50495673698606347</v>
      </c>
      <c r="F18" s="61">
        <f>IFERROR((st_DL/(k_decay_res_state*Rad_Spec!AY18*st_Fam*st_Foffset*st_EF_res*(1/365)*acf!H18*((st_ET_res_o*st_GSF_s)+(st_ET_res_i*st_GSF_i))*(1/24)))*1,".")</f>
        <v>1691932.5798891264</v>
      </c>
      <c r="G18" s="61">
        <f t="shared" si="6"/>
        <v>2.2502320048045504E-2</v>
      </c>
      <c r="H18" s="61">
        <f t="shared" si="7"/>
        <v>4.4353289383587766E-3</v>
      </c>
    </row>
    <row r="19" spans="1:8" ht="15" customHeight="1">
      <c r="A19" s="60" t="s">
        <v>24</v>
      </c>
      <c r="B19" s="88" t="s">
        <v>6</v>
      </c>
      <c r="C19" s="61" t="str">
        <f>IFERROR((st_DL/(k_decay_res_state*Rad_Spec!X19*st_IFDres_adj))*1,".")</f>
        <v>.</v>
      </c>
      <c r="D19" s="61" t="str">
        <f>IFERROR((st_DL/(k_decay_res_state*Rad_Spec!AN19*st_IFAres_adj*(1/s_PEFm_pp_state)*st_SLF*(st_ET_res_o+st_ET_res_i)*(1/24)))*1,".")</f>
        <v>.</v>
      </c>
      <c r="E19" s="61" t="str">
        <f>IFERROR((st_DL/(k_decay_res_state*Rad_Spec!AN19*st_IFAres_adj*(1/s_PEF)*st_SLF*(st_ET_res_o+st_ET_res_i)*(1/24)))*1,".")</f>
        <v>.</v>
      </c>
      <c r="F19" s="61">
        <f>IFERROR((st_DL/(k_decay_res_state*Rad_Spec!AY19*st_Fam*st_Foffset*st_EF_res*(1/365)*acf!H19*((st_ET_res_o*st_GSF_s)+(st_ET_res_i*st_GSF_i))*(1/24)))*1,".")</f>
        <v>437680.82670897373</v>
      </c>
      <c r="G19" s="61">
        <f t="shared" si="6"/>
        <v>437680.82670897368</v>
      </c>
      <c r="H19" s="61">
        <f t="shared" si="7"/>
        <v>437680.82670897368</v>
      </c>
    </row>
    <row r="20" spans="1:8" ht="15" customHeight="1">
      <c r="A20" s="60" t="s">
        <v>25</v>
      </c>
      <c r="B20" s="88" t="s">
        <v>6</v>
      </c>
      <c r="C20" s="61" t="str">
        <f>IFERROR((st_DL/(k_decay_res_state*Rad_Spec!X20*st_IFDres_adj))*1,".")</f>
        <v>.</v>
      </c>
      <c r="D20" s="61" t="str">
        <f>IFERROR((st_DL/(k_decay_res_state*Rad_Spec!AN20*st_IFAres_adj*(1/s_PEFm_pp_state)*st_SLF*(st_ET_res_o+st_ET_res_i)*(1/24)))*1,".")</f>
        <v>.</v>
      </c>
      <c r="E20" s="61" t="str">
        <f>IFERROR((st_DL/(k_decay_res_state*Rad_Spec!AN20*st_IFAres_adj*(1/s_PEF)*st_SLF*(st_ET_res_o+st_ET_res_i)*(1/24)))*1,".")</f>
        <v>.</v>
      </c>
      <c r="F20" s="61">
        <f>IFERROR((st_DL/(k_decay_res_state*Rad_Spec!AY20*st_Fam*st_Foffset*st_EF_res*(1/365)*acf!H20*((st_ET_res_o*st_GSF_s)+(st_ET_res_i*st_GSF_i))*(1/24)))*1,".")</f>
        <v>198700.51007890856</v>
      </c>
      <c r="G20" s="61">
        <f t="shared" si="6"/>
        <v>198700.51007890856</v>
      </c>
      <c r="H20" s="61">
        <f t="shared" si="7"/>
        <v>198700.51007890856</v>
      </c>
    </row>
    <row r="21" spans="1:8" ht="15" customHeight="1">
      <c r="A21" s="60" t="s">
        <v>26</v>
      </c>
      <c r="B21" s="88" t="s">
        <v>6</v>
      </c>
      <c r="C21" s="61" t="str">
        <f>IFERROR((st_DL/(k_decay_res_state*Rad_Spec!X21*st_IFDres_adj))*1,".")</f>
        <v>.</v>
      </c>
      <c r="D21" s="61">
        <f>IFERROR((st_DL/(k_decay_res_state*Rad_Spec!AN21*st_IFAres_adj*(1/s_PEFm_pp_state)*st_SLF*(st_ET_res_o+st_ET_res_i)*(1/24)))*1,".")</f>
        <v>12.417511503848145</v>
      </c>
      <c r="E21" s="61">
        <f>IFERROR((st_DL/(k_decay_res_state*Rad_Spec!AN21*st_IFAres_adj*(1/s_PEF)*st_SLF*(st_ET_res_o+st_ET_res_i)*(1/24)))*1,".")</f>
        <v>1147.484364521086</v>
      </c>
      <c r="F21" s="61">
        <f>IFERROR((st_DL/(k_decay_res_state*Rad_Spec!AY21*st_Fam*st_Foffset*st_EF_res*(1/365)*acf!H21*((st_ET_res_o*st_GSF_s)+(st_ET_res_i*st_GSF_i))*(1/24)))*1,".")</f>
        <v>2297212398.5161858</v>
      </c>
      <c r="G21" s="61">
        <f t="shared" si="6"/>
        <v>1147.4837913395595</v>
      </c>
      <c r="H21" s="61">
        <f t="shared" si="7"/>
        <v>12.417511436725665</v>
      </c>
    </row>
    <row r="22" spans="1:8" ht="15" customHeight="1">
      <c r="A22" s="60" t="s">
        <v>27</v>
      </c>
      <c r="B22" s="88" t="s">
        <v>6</v>
      </c>
      <c r="C22" s="61">
        <f>IFERROR((st_DL/(k_decay_res_state*Rad_Spec!X22*st_IFDres_adj))*1,".")</f>
        <v>0.17317543172938973</v>
      </c>
      <c r="D22" s="61">
        <f>IFERROR((st_DL/(k_decay_res_state*Rad_Spec!AN22*st_IFAres_adj*(1/s_PEFm_pp_state)*st_SLF*(st_ET_res_o+st_ET_res_i)*(1/24)))*1,".")</f>
        <v>3.040827768079278E-3</v>
      </c>
      <c r="E22" s="61">
        <f>IFERROR((st_DL/(k_decay_res_state*Rad_Spec!AN22*st_IFAres_adj*(1/s_PEF)*st_SLF*(st_ET_res_o+st_ET_res_i)*(1/24)))*1,".")</f>
        <v>0.28099851713374291</v>
      </c>
      <c r="F22" s="61">
        <f>IFERROR((st_DL/(k_decay_res_state*Rad_Spec!AY22*st_Fam*st_Foffset*st_EF_res*(1/365)*acf!H22*((st_ET_res_o*st_GSF_s)+(st_ET_res_i*st_GSF_i))*(1/24)))*1,".")</f>
        <v>1265.736088537878</v>
      </c>
      <c r="G22" s="61">
        <f t="shared" si="6"/>
        <v>0.10713498818700991</v>
      </c>
      <c r="H22" s="61">
        <f t="shared" si="7"/>
        <v>2.9883474985901762E-3</v>
      </c>
    </row>
    <row r="23" spans="1:8" ht="15" customHeight="1">
      <c r="A23" s="62" t="s">
        <v>28</v>
      </c>
      <c r="B23" s="88" t="s">
        <v>8</v>
      </c>
      <c r="C23" s="61">
        <f>IFERROR((st_DL/(k_decay_res_state*Rad_Spec!X23*st_IFDres_adj))*1,".")</f>
        <v>9.0984001659149577E-2</v>
      </c>
      <c r="D23" s="61">
        <f>IFERROR((st_DL/(k_decay_res_state*Rad_Spec!AN23*st_IFAres_adj*(1/s_PEFm_pp_state)*st_SLF*(st_ET_res_o+st_ET_res_i)*(1/24)))*1,".")</f>
        <v>2.4828506339365755E-3</v>
      </c>
      <c r="E23" s="61">
        <f>IFERROR((st_DL/(k_decay_res_state*Rad_Spec!AN23*st_IFAres_adj*(1/s_PEF)*st_SLF*(st_ET_res_o+st_ET_res_i)*(1/24)))*1,".")</f>
        <v>0.22943665331017263</v>
      </c>
      <c r="F23" s="61">
        <f>IFERROR((st_DL/(k_decay_res_state*Rad_Spec!AY23*st_Fam*st_Foffset*st_EF_res*(1/365)*acf!H23*((st_ET_res_o*st_GSF_s)+(st_ET_res_i*st_GSF_i))*(1/24)))*1,".")</f>
        <v>2218.0666803794111</v>
      </c>
      <c r="G23" s="61">
        <f t="shared" si="6"/>
        <v>6.5147022822725401E-2</v>
      </c>
      <c r="H23" s="61">
        <f t="shared" si="7"/>
        <v>2.4168936313364812E-3</v>
      </c>
    </row>
    <row r="24" spans="1:8" ht="15" customHeight="1">
      <c r="A24" s="60" t="s">
        <v>29</v>
      </c>
      <c r="B24" s="88" t="s">
        <v>6</v>
      </c>
      <c r="C24" s="61" t="str">
        <f>IFERROR((st_DL/(k_decay_res_state*Rad_Spec!X24*st_IFDres_adj))*1,".")</f>
        <v>.</v>
      </c>
      <c r="D24" s="61" t="str">
        <f>IFERROR((st_DL/(k_decay_res_state*Rad_Spec!AN24*st_IFAres_adj*(1/s_PEFm_pp_state)*st_SLF*(st_ET_res_o+st_ET_res_i)*(1/24)))*1,".")</f>
        <v>.</v>
      </c>
      <c r="E24" s="61" t="str">
        <f>IFERROR((st_DL/(k_decay_res_state*Rad_Spec!AN24*st_IFAres_adj*(1/s_PEF)*st_SLF*(st_ET_res_o+st_ET_res_i)*(1/24)))*1,".")</f>
        <v>.</v>
      </c>
      <c r="F24" s="61">
        <f>IFERROR((st_DL/(k_decay_res_state*Rad_Spec!AY24*st_Fam*st_Foffset*st_EF_res*(1/365)*acf!H24*((st_ET_res_o*st_GSF_s)+(st_ET_res_i*st_GSF_i))*(1/24)))*1,".")</f>
        <v>21431.659041129238</v>
      </c>
      <c r="G24" s="61">
        <f t="shared" si="6"/>
        <v>21431.659041129238</v>
      </c>
      <c r="H24" s="61">
        <f t="shared" si="7"/>
        <v>21431.659041129238</v>
      </c>
    </row>
    <row r="25" spans="1:8" ht="15" customHeight="1">
      <c r="A25" s="62" t="s">
        <v>30</v>
      </c>
      <c r="B25" s="88" t="s">
        <v>8</v>
      </c>
      <c r="C25" s="61" t="str">
        <f>IFERROR((st_DL/(k_decay_res_state*Rad_Spec!X25*st_IFDres_adj))*1,".")</f>
        <v>.</v>
      </c>
      <c r="D25" s="61">
        <f>IFERROR((st_DL/(k_decay_res_state*Rad_Spec!AN25*st_IFAres_adj*(1/s_PEFm_pp_state)*st_SLF*(st_ET_res_o+st_ET_res_i)*(1/24)))*1,".")</f>
        <v>14.446021016690516</v>
      </c>
      <c r="E25" s="61">
        <f>IFERROR((st_DL/(k_decay_res_state*Rad_Spec!AN25*st_IFAres_adj*(1/s_PEF)*st_SLF*(st_ET_res_o+st_ET_res_i)*(1/24)))*1,".")</f>
        <v>1334.9360088016299</v>
      </c>
      <c r="F25" s="61">
        <f>IFERROR((st_DL/(k_decay_res_state*Rad_Spec!AY25*st_Fam*st_Foffset*st_EF_res*(1/365)*acf!H25*((st_ET_res_o*st_GSF_s)+(st_ET_res_i*st_GSF_i))*(1/24)))*1,".")</f>
        <v>41937.703478324795</v>
      </c>
      <c r="G25" s="61">
        <f t="shared" si="6"/>
        <v>1293.7540016785058</v>
      </c>
      <c r="H25" s="61">
        <f t="shared" si="7"/>
        <v>14.441046598795243</v>
      </c>
    </row>
    <row r="26" spans="1:8" ht="15" customHeight="1">
      <c r="A26" s="60" t="s">
        <v>31</v>
      </c>
      <c r="B26" s="88" t="s">
        <v>6</v>
      </c>
      <c r="C26" s="61">
        <f>IFERROR((st_DL/(k_decay_res_state*Rad_Spec!X26*st_IFDres_adj))*1,".")</f>
        <v>6.7677754928727005E-2</v>
      </c>
      <c r="D26" s="61">
        <f>IFERROR((st_DL/(k_decay_res_state*Rad_Spec!AN26*st_IFAres_adj*(1/s_PEFm_pp_state)*st_SLF*(st_ET_res_o+st_ET_res_i)*(1/24)))*1,".")</f>
        <v>3.3872002025889708E-4</v>
      </c>
      <c r="E26" s="61">
        <f>IFERROR((st_DL/(k_decay_res_state*Rad_Spec!AN26*st_IFAres_adj*(1/s_PEF)*st_SLF*(st_ET_res_o+st_ET_res_i)*(1/24)))*1,".")</f>
        <v>3.1300629524434145E-2</v>
      </c>
      <c r="F26" s="61">
        <f>IFERROR((st_DL/(k_decay_res_state*Rad_Spec!AY26*st_Fam*st_Foffset*st_EF_res*(1/365)*acf!H26*((st_ET_res_o*st_GSF_s)+(st_ET_res_i*st_GSF_i))*(1/24)))*1,".")</f>
        <v>181.881154641856</v>
      </c>
      <c r="G26" s="61">
        <f t="shared" si="6"/>
        <v>2.1399693530324726E-2</v>
      </c>
      <c r="H26" s="61">
        <f t="shared" si="7"/>
        <v>3.3703258010725305E-4</v>
      </c>
    </row>
    <row r="27" spans="1:8" ht="15" customHeight="1">
      <c r="A27" s="60" t="s">
        <v>32</v>
      </c>
      <c r="B27" s="88" t="s">
        <v>6</v>
      </c>
      <c r="C27" s="61" t="str">
        <f>IFERROR((st_DL/(k_decay_res_state*Rad_Spec!X27*st_IFDres_adj))*1,".")</f>
        <v>.</v>
      </c>
      <c r="D27" s="61" t="str">
        <f>IFERROR((st_DL/(k_decay_res_state*Rad_Spec!AN27*st_IFAres_adj*(1/s_PEFm_pp_state)*st_SLF*(st_ET_res_o+st_ET_res_i)*(1/24)))*1,".")</f>
        <v>.</v>
      </c>
      <c r="E27" s="61" t="str">
        <f>IFERROR((st_DL/(k_decay_res_state*Rad_Spec!AN27*st_IFAres_adj*(1/s_PEF)*st_SLF*(st_ET_res_o+st_ET_res_i)*(1/24)))*1,".")</f>
        <v>.</v>
      </c>
      <c r="F27" s="61">
        <f>IFERROR((st_DL/(k_decay_res_state*Rad_Spec!AY27*st_Fam*st_Foffset*st_EF_res*(1/365)*acf!H27*((st_ET_res_o*st_GSF_s)+(st_ET_res_i*st_GSF_i))*(1/24)))*1,".")</f>
        <v>238.47871245682177</v>
      </c>
      <c r="G27" s="61">
        <f t="shared" si="6"/>
        <v>238.47871245682177</v>
      </c>
      <c r="H27" s="61">
        <f t="shared" si="7"/>
        <v>238.47871245682177</v>
      </c>
    </row>
    <row r="28" spans="1:8" ht="15" customHeight="1">
      <c r="A28" s="60" t="s">
        <v>33</v>
      </c>
      <c r="B28" s="88" t="s">
        <v>6</v>
      </c>
      <c r="C28" s="61" t="str">
        <f>IFERROR((st_DL/(k_decay_res_state*Rad_Spec!X28*st_IFDres_adj))*1,".")</f>
        <v>.</v>
      </c>
      <c r="D28" s="61" t="str">
        <f>IFERROR((st_DL/(k_decay_res_state*Rad_Spec!AN28*st_IFAres_adj*(1/s_PEFm_pp_state)*st_SLF*(st_ET_res_o+st_ET_res_i)*(1/24)))*1,".")</f>
        <v>.</v>
      </c>
      <c r="E28" s="61" t="str">
        <f>IFERROR((st_DL/(k_decay_res_state*Rad_Spec!AN28*st_IFAres_adj*(1/s_PEF)*st_SLF*(st_ET_res_o+st_ET_res_i)*(1/24)))*1,".")</f>
        <v>.</v>
      </c>
      <c r="F28" s="61">
        <f>IFERROR((st_DL/(k_decay_res_state*Rad_Spec!AY28*st_Fam*st_Foffset*st_EF_res*(1/365)*acf!H28*((st_ET_res_o*st_GSF_s)+(st_ET_res_i*st_GSF_i))*(1/24)))*1,".")</f>
        <v>7.8435019369139303</v>
      </c>
      <c r="G28" s="61">
        <f t="shared" si="6"/>
        <v>7.8435019369139303</v>
      </c>
      <c r="H28" s="61">
        <f t="shared" si="7"/>
        <v>7.8435019369139303</v>
      </c>
    </row>
    <row r="29" spans="1:8" ht="15" customHeight="1">
      <c r="A29" s="60" t="s">
        <v>34</v>
      </c>
      <c r="B29" s="88" t="s">
        <v>6</v>
      </c>
      <c r="C29" s="61" t="str">
        <f>IFERROR((st_DL/(k_decay_res_state*Rad_Spec!X29*st_IFDres_adj))*1,".")</f>
        <v>.</v>
      </c>
      <c r="D29" s="61" t="str">
        <f>IFERROR((st_DL/(k_decay_res_state*Rad_Spec!AN29*st_IFAres_adj*(1/s_PEFm_pp_state)*st_SLF*(st_ET_res_o+st_ET_res_i)*(1/24)))*1,".")</f>
        <v>.</v>
      </c>
      <c r="E29" s="61" t="str">
        <f>IFERROR((st_DL/(k_decay_res_state*Rad_Spec!AN29*st_IFAres_adj*(1/s_PEF)*st_SLF*(st_ET_res_o+st_ET_res_i)*(1/24)))*1,".")</f>
        <v>.</v>
      </c>
      <c r="F29" s="61">
        <f>IFERROR((st_DL/(k_decay_res_state*Rad_Spec!AY29*st_Fam*st_Foffset*st_EF_res*(1/365)*acf!H29*((st_ET_res_o*st_GSF_s)+(st_ET_res_i*st_GSF_i))*(1/24)))*1,".")</f>
        <v>5.9653954608988995</v>
      </c>
      <c r="G29" s="61">
        <f t="shared" si="6"/>
        <v>5.9653954608988995</v>
      </c>
      <c r="H29" s="61">
        <f t="shared" si="7"/>
        <v>5.9653954608988995</v>
      </c>
    </row>
    <row r="30" spans="1:8" ht="15" customHeight="1">
      <c r="A30" s="60" t="s">
        <v>35</v>
      </c>
      <c r="B30" s="88" t="s">
        <v>6</v>
      </c>
      <c r="C30" s="61">
        <f>IFERROR((st_DL/(k_decay_res_state*Rad_Spec!X30*st_IFDres_adj))*1,".")</f>
        <v>0.68464705567433159</v>
      </c>
      <c r="D30" s="61">
        <f>IFERROR((st_DL/(k_decay_res_state*Rad_Spec!AN30*st_IFAres_adj*(1/s_PEFm_pp_state)*st_SLF*(st_ET_res_o+st_ET_res_i)*(1/24)))*1,".")</f>
        <v>2.4828506339365755E-3</v>
      </c>
      <c r="E30" s="61">
        <f>IFERROR((st_DL/(k_decay_res_state*Rad_Spec!AN30*st_IFAres_adj*(1/s_PEF)*st_SLF*(st_ET_res_o+st_ET_res_i)*(1/24)))*1,".")</f>
        <v>0.22943665331017263</v>
      </c>
      <c r="F30" s="61">
        <f>IFERROR((st_DL/(k_decay_res_state*Rad_Spec!AY30*st_Fam*st_Foffset*st_EF_res*(1/365)*acf!H30*((st_ET_res_o*st_GSF_s)+(st_ET_res_i*st_GSF_i))*(1/24)))*1,".")</f>
        <v>28884.067657813797</v>
      </c>
      <c r="G30" s="61">
        <f t="shared" si="6"/>
        <v>0.17184661868260154</v>
      </c>
      <c r="H30" s="61">
        <f t="shared" si="7"/>
        <v>2.4738789783503206E-3</v>
      </c>
    </row>
    <row r="31" spans="1:8">
      <c r="A31" s="63" t="s">
        <v>7</v>
      </c>
      <c r="B31" s="82" t="s">
        <v>6</v>
      </c>
      <c r="C31" s="67">
        <f>IFERROR(1/SUM(1/C32,1/C33,1/C34,1/C35,1/C36,1/C37,1/C38,1/C41,1/C44),0)</f>
        <v>3.1125898676662777E-2</v>
      </c>
      <c r="D31" s="67">
        <f t="shared" ref="D31:E31" si="10">IFERROR(1/SUM(1/D32,1/D33,1/D34,1/D35,1/D36,1/D37,1/D38,1/D41,1/D44),0)</f>
        <v>1.1942906896474921E-4</v>
      </c>
      <c r="E31" s="67">
        <f t="shared" si="10"/>
        <v>1.1036268358913219E-2</v>
      </c>
      <c r="F31" s="67">
        <f>IFERROR(1/SUM(1/F32,1/F33,1/F34,1/F35,1/F36,1/F37,1/F38,1/F39,1/F40,1/F41,1/F42,1/F43,1/F44),0)</f>
        <v>25.27733962101987</v>
      </c>
      <c r="G31" s="73">
        <f t="shared" ref="G31:H31" si="11">IFERROR(1/SUM(1/G32,1/G33,1/G34,1/G35,1/G36,1/G37,1/G38,1/G39,1/G40,1/G41,1/G42,1/G43,1/G44),0)</f>
        <v>8.144815803018058E-3</v>
      </c>
      <c r="H31" s="73">
        <f t="shared" si="11"/>
        <v>1.1897201506865493E-4</v>
      </c>
    </row>
    <row r="32" spans="1:8" ht="15" customHeight="1">
      <c r="A32" s="65" t="s">
        <v>390</v>
      </c>
      <c r="B32" s="89">
        <v>1</v>
      </c>
      <c r="C32" s="69">
        <f>IFERROR(C3/$B32,0)</f>
        <v>0.17317543172938973</v>
      </c>
      <c r="D32" s="69">
        <f>IFERROR(D3/$B32,0)</f>
        <v>2.6068666187101659E-4</v>
      </c>
      <c r="E32" s="69">
        <f>IFERROR(E3/$B32,0)</f>
        <v>2.4089679195665414E-2</v>
      </c>
      <c r="F32" s="69">
        <f>IFERROR(F3/$B32,0)</f>
        <v>639.75416966597345</v>
      </c>
      <c r="G32" s="70">
        <f t="shared" ref="G32:G44" si="12">(IF(AND(C32&lt;&gt;0,E32&lt;&gt;0,F32&lt;&gt;0),1/((1/C32)+(1/E32)+(1/F32)),IF(AND(C32&lt;&gt;0,E32&lt;&gt;0,F32=0), 1/((1/C32)+(1/E32)),IF(AND(C32&lt;&gt;0,E32=0,F32&lt;&gt;0),1/((1/C32)+(1/F32)),IF(AND(C32=0,E32&lt;&gt;0,F32&lt;&gt;0),1/((1/E32)+(1/F32)),IF(AND(C32&lt;&gt;0,E32=0,F32=0),1/(1/C32),IF(AND(C32=0,E32&lt;&gt;0,F32=0),1/(1/E32),IF(AND(C32=0,E32=0,F32&lt;&gt;0),1/(1/F32),IF(AND(C32=0,E32=0,F32=0),0)))))))))</f>
        <v>2.114718957514097E-2</v>
      </c>
      <c r="H32" s="70">
        <f t="shared" ref="H32:H44" si="13">(IF(AND(C32&lt;&gt;0,D32&lt;&gt;0,F32&lt;&gt;0),1/((1/C32)+(1/D32)+(1/F32)),IF(AND(C32&lt;&gt;0,D32&lt;&gt;0,F32=0), 1/((1/C32)+(1/D32)),IF(AND(C32&lt;&gt;0,D32=0,F32&lt;&gt;0),1/((1/C32)+(1/F32)),IF(AND(C32=0,D32&lt;&gt;0,F32&lt;&gt;0),1/((1/D32)+(1/F32)),IF(AND(C32&lt;&gt;0,D32=0,F32=0),1/(1/C32),IF(AND(C32=0,D32&lt;&gt;0,F32=0),1/(1/D32),IF(AND(C32=0,D32=0,F32&lt;&gt;0),1/(1/F32),IF(AND(C32=0,D32=0,F32=0),0)))))))))</f>
        <v>2.602947256116258E-4</v>
      </c>
    </row>
    <row r="33" spans="1:8" ht="15" customHeight="1">
      <c r="A33" s="65" t="s">
        <v>391</v>
      </c>
      <c r="B33" s="89">
        <v>1</v>
      </c>
      <c r="C33" s="71">
        <f t="shared" ref="C33:F34" si="14">IFERROR(C13/$B33,0)</f>
        <v>0.32972602201275808</v>
      </c>
      <c r="D33" s="71">
        <f t="shared" si="14"/>
        <v>2.0296318674243433E-3</v>
      </c>
      <c r="E33" s="71">
        <f t="shared" si="14"/>
        <v>0.18755535945196644</v>
      </c>
      <c r="F33" s="71">
        <f t="shared" si="14"/>
        <v>569.34561641759649</v>
      </c>
      <c r="G33" s="70">
        <f t="shared" si="12"/>
        <v>0.11952662884131222</v>
      </c>
      <c r="H33" s="70">
        <f t="shared" si="13"/>
        <v>2.0172077337487692E-3</v>
      </c>
    </row>
    <row r="34" spans="1:8" ht="15" customHeight="1">
      <c r="A34" s="65" t="s">
        <v>392</v>
      </c>
      <c r="B34" s="89">
        <v>1</v>
      </c>
      <c r="C34" s="71">
        <f t="shared" si="14"/>
        <v>31.224055114844511</v>
      </c>
      <c r="D34" s="71">
        <f t="shared" si="14"/>
        <v>5.6081933178830541</v>
      </c>
      <c r="E34" s="71">
        <f t="shared" si="14"/>
        <v>518.2450721699073</v>
      </c>
      <c r="F34" s="71">
        <f t="shared" si="14"/>
        <v>73.026406204996704</v>
      </c>
      <c r="G34" s="70">
        <f t="shared" si="12"/>
        <v>20.986422554677372</v>
      </c>
      <c r="H34" s="70">
        <f t="shared" si="13"/>
        <v>4.4636717574929223</v>
      </c>
    </row>
    <row r="35" spans="1:8" ht="15" customHeight="1">
      <c r="A35" s="65" t="s">
        <v>393</v>
      </c>
      <c r="B35" s="89">
        <v>1</v>
      </c>
      <c r="C35" s="71">
        <f>IFERROR(C30/$B35,0)</f>
        <v>0.68464705567433159</v>
      </c>
      <c r="D35" s="71">
        <f>IFERROR(D30/$B35,0)</f>
        <v>2.4828506339365755E-3</v>
      </c>
      <c r="E35" s="71">
        <f>IFERROR(E30/$B35,0)</f>
        <v>0.22943665331017263</v>
      </c>
      <c r="F35" s="71">
        <f>IFERROR(F30/$B35,0)</f>
        <v>28884.067657813797</v>
      </c>
      <c r="G35" s="70">
        <f t="shared" si="12"/>
        <v>0.17184661868260154</v>
      </c>
      <c r="H35" s="70">
        <f t="shared" si="13"/>
        <v>2.4738789783503206E-3</v>
      </c>
    </row>
    <row r="36" spans="1:8" ht="15" customHeight="1">
      <c r="A36" s="65" t="s">
        <v>394</v>
      </c>
      <c r="B36" s="89">
        <v>1</v>
      </c>
      <c r="C36" s="71">
        <f>IFERROR(C26/$B36,0)</f>
        <v>6.7677754928727005E-2</v>
      </c>
      <c r="D36" s="71">
        <f>IFERROR(D26/$B36,0)</f>
        <v>3.3872002025889708E-4</v>
      </c>
      <c r="E36" s="71">
        <f>IFERROR(E26/$B36,0)</f>
        <v>3.1300629524434145E-2</v>
      </c>
      <c r="F36" s="71">
        <f>IFERROR(F26/$B36,0)</f>
        <v>181.881154641856</v>
      </c>
      <c r="G36" s="70">
        <f t="shared" si="12"/>
        <v>2.1399693530324726E-2</v>
      </c>
      <c r="H36" s="70">
        <f t="shared" si="13"/>
        <v>3.3703258010725305E-4</v>
      </c>
    </row>
    <row r="37" spans="1:8" ht="15" customHeight="1">
      <c r="A37" s="65" t="s">
        <v>395</v>
      </c>
      <c r="B37" s="89">
        <v>1</v>
      </c>
      <c r="C37" s="71">
        <f>IFERROR(C22/$B37,0)</f>
        <v>0.17317543172938973</v>
      </c>
      <c r="D37" s="71">
        <f>IFERROR(D22/$B37,0)</f>
        <v>3.040827768079278E-3</v>
      </c>
      <c r="E37" s="71">
        <f>IFERROR(E22/$B37,0)</f>
        <v>0.28099851713374291</v>
      </c>
      <c r="F37" s="71">
        <f>IFERROR(F22/$B37,0)</f>
        <v>1265.736088537878</v>
      </c>
      <c r="G37" s="70">
        <f t="shared" si="12"/>
        <v>0.10713498818700991</v>
      </c>
      <c r="H37" s="70">
        <f t="shared" si="13"/>
        <v>2.9883474985901762E-3</v>
      </c>
    </row>
    <row r="38" spans="1:8" ht="15" customHeight="1">
      <c r="A38" s="65" t="s">
        <v>396</v>
      </c>
      <c r="B38" s="89">
        <v>1</v>
      </c>
      <c r="C38" s="71">
        <f>IFERROR(C2/$B38,0)</f>
        <v>0.78806410614903932</v>
      </c>
      <c r="D38" s="71">
        <f>IFERROR(D2/$B38,0)</f>
        <v>2.785769229798118E-3</v>
      </c>
      <c r="E38" s="71">
        <f>IFERROR(E2/$B38,0)</f>
        <v>0.25742892473799317</v>
      </c>
      <c r="F38" s="71">
        <f>IFERROR(F2/$B38,0)</f>
        <v>1061.5777249823602</v>
      </c>
      <c r="G38" s="70">
        <f t="shared" si="12"/>
        <v>0.19400743391947917</v>
      </c>
      <c r="H38" s="70">
        <f t="shared" si="13"/>
        <v>2.7759490968452772E-3</v>
      </c>
    </row>
    <row r="39" spans="1:8" ht="15" customHeight="1">
      <c r="A39" s="65" t="s">
        <v>397</v>
      </c>
      <c r="B39" s="89">
        <v>1</v>
      </c>
      <c r="C39" s="71">
        <f>IFERROR(C11/$B39,0)</f>
        <v>0</v>
      </c>
      <c r="D39" s="71">
        <f>IFERROR(D11/$B39,0)</f>
        <v>0</v>
      </c>
      <c r="E39" s="71">
        <f>IFERROR(E11/$B39,0)</f>
        <v>0</v>
      </c>
      <c r="F39" s="71">
        <f>IFERROR(F11/$B39,0)</f>
        <v>551.03875357413847</v>
      </c>
      <c r="G39" s="70">
        <f t="shared" si="12"/>
        <v>551.03875357413847</v>
      </c>
      <c r="H39" s="70">
        <f t="shared" si="13"/>
        <v>551.03875357413847</v>
      </c>
    </row>
    <row r="40" spans="1:8" ht="15" customHeight="1">
      <c r="A40" s="65" t="s">
        <v>398</v>
      </c>
      <c r="B40" s="89">
        <v>1</v>
      </c>
      <c r="C40" s="71">
        <f>IFERROR(C4/$B40,0)</f>
        <v>0</v>
      </c>
      <c r="D40" s="71">
        <f>IFERROR(D4/$B40,0)</f>
        <v>0</v>
      </c>
      <c r="E40" s="71">
        <f>IFERROR(E4/$B40,0)</f>
        <v>0</v>
      </c>
      <c r="F40" s="71">
        <f>IFERROR(F4/$B40,0)</f>
        <v>66251.79814565026</v>
      </c>
      <c r="G40" s="70">
        <f t="shared" si="12"/>
        <v>66251.79814565026</v>
      </c>
      <c r="H40" s="70">
        <f t="shared" si="13"/>
        <v>66251.79814565026</v>
      </c>
    </row>
    <row r="41" spans="1:8" ht="15" customHeight="1">
      <c r="A41" s="65" t="s">
        <v>399</v>
      </c>
      <c r="B41" s="90">
        <v>0.99987999999999999</v>
      </c>
      <c r="C41" s="71">
        <f>IFERROR(C8/$B41,0)</f>
        <v>153.80857923695157</v>
      </c>
      <c r="D41" s="71">
        <f>IFERROR(D8/$B41,0)</f>
        <v>0.72046283665439093</v>
      </c>
      <c r="E41" s="71">
        <f>IFERROR(E8/$B41,0)</f>
        <v>66.576933713588673</v>
      </c>
      <c r="F41" s="71">
        <f>IFERROR(F8/$B41,0)</f>
        <v>94.535862328526633</v>
      </c>
      <c r="G41" s="70">
        <f t="shared" si="12"/>
        <v>31.152840791516208</v>
      </c>
      <c r="H41" s="70">
        <f t="shared" si="13"/>
        <v>0.71170515829958825</v>
      </c>
    </row>
    <row r="42" spans="1:8" ht="15" customHeight="1">
      <c r="A42" s="65" t="s">
        <v>400</v>
      </c>
      <c r="B42" s="89">
        <v>0.97898250799999997</v>
      </c>
      <c r="C42" s="71">
        <f>IFERROR(C19/$B42,0)</f>
        <v>0</v>
      </c>
      <c r="D42" s="71">
        <f>IFERROR(D19/$B42,0)</f>
        <v>0</v>
      </c>
      <c r="E42" s="71">
        <f>IFERROR(E19/$B42,0)</f>
        <v>0</v>
      </c>
      <c r="F42" s="71">
        <f>IFERROR(F19/$B42,0)</f>
        <v>447077.26964716485</v>
      </c>
      <c r="G42" s="70">
        <f t="shared" si="12"/>
        <v>447077.26964716479</v>
      </c>
      <c r="H42" s="70">
        <f t="shared" si="13"/>
        <v>447077.26964716479</v>
      </c>
    </row>
    <row r="43" spans="1:8" ht="15" customHeight="1">
      <c r="A43" s="65" t="s">
        <v>401</v>
      </c>
      <c r="B43" s="89">
        <v>2.0897492E-2</v>
      </c>
      <c r="C43" s="71">
        <f>IFERROR(C28/$B43,0)</f>
        <v>0</v>
      </c>
      <c r="D43" s="71">
        <f>IFERROR(D28/$B43,0)</f>
        <v>0</v>
      </c>
      <c r="E43" s="71">
        <f>IFERROR(E28/$B43,0)</f>
        <v>0</v>
      </c>
      <c r="F43" s="71">
        <f>IFERROR(F28/$B43,0)</f>
        <v>375.33221388068625</v>
      </c>
      <c r="G43" s="70">
        <f t="shared" si="12"/>
        <v>375.33221388068625</v>
      </c>
      <c r="H43" s="70">
        <f t="shared" si="13"/>
        <v>375.33221388068625</v>
      </c>
    </row>
    <row r="44" spans="1:8" ht="15" customHeight="1">
      <c r="A44" s="65" t="s">
        <v>402</v>
      </c>
      <c r="B44" s="89">
        <v>0.99987999999999999</v>
      </c>
      <c r="C44" s="71">
        <f>IFERROR(C15/$B44,0)</f>
        <v>551.8165894980325</v>
      </c>
      <c r="D44" s="71">
        <f>IFERROR(D15/$B44,0)</f>
        <v>366.42450861362295</v>
      </c>
      <c r="E44" s="71">
        <f>IFERROR(E15/$B44,0)</f>
        <v>33860.761415936933</v>
      </c>
      <c r="F44" s="71">
        <f>IFERROR(F15/$B44,0)</f>
        <v>4789.4344343680596</v>
      </c>
      <c r="G44" s="70">
        <f t="shared" si="12"/>
        <v>487.68070704726392</v>
      </c>
      <c r="H44" s="70">
        <f t="shared" si="13"/>
        <v>210.52346392304437</v>
      </c>
    </row>
    <row r="45" spans="1:8">
      <c r="A45" s="63" t="s">
        <v>15</v>
      </c>
      <c r="B45" s="82" t="s">
        <v>6</v>
      </c>
      <c r="C45" s="67">
        <f>IFERROR(1/SUM(1/C46),0)</f>
        <v>3.0989287783153951</v>
      </c>
      <c r="D45" s="67">
        <f t="shared" ref="D45:E45" si="15">IFERROR(1/SUM(1/D46),0)</f>
        <v>0.61327006066059286</v>
      </c>
      <c r="E45" s="67">
        <f t="shared" si="15"/>
        <v>56.671403575414331</v>
      </c>
      <c r="F45" s="67">
        <f>IFERROR(1/SUM(1/F46,1/F47),0)</f>
        <v>28.311891493111304</v>
      </c>
      <c r="G45" s="68">
        <f>IFERROR(1/SUM(1/G46,1/G47),0)</f>
        <v>2.6619916103396046</v>
      </c>
      <c r="H45" s="68">
        <f t="shared" ref="H45" si="16">IFERROR(1/SUM(1/H46,1/H47),0)</f>
        <v>0.50286229231210211</v>
      </c>
    </row>
    <row r="46" spans="1:8" ht="15" customHeight="1">
      <c r="A46" s="65" t="s">
        <v>403</v>
      </c>
      <c r="B46" s="89">
        <v>1</v>
      </c>
      <c r="C46" s="71">
        <f>IFERROR(C10/$B46,0)</f>
        <v>3.0989287783153951</v>
      </c>
      <c r="D46" s="71">
        <f>IFERROR(D10/$B46,0)</f>
        <v>0.61327006066059286</v>
      </c>
      <c r="E46" s="71">
        <f>IFERROR(E10/$B46,0)</f>
        <v>56.671403575414324</v>
      </c>
      <c r="F46" s="71">
        <f>IFERROR(F10/$B46,0)</f>
        <v>4852.5504228295458</v>
      </c>
      <c r="G46" s="70">
        <f>(IF(AND(C46&lt;&gt;0,E46&lt;&gt;0,F46&lt;&gt;0),1/((1/C46)+(1/E46)+(1/F46)),IF(AND(C46&lt;&gt;0,E46&lt;&gt;0,F46=0), 1/((1/C46)+(1/E46)),IF(AND(C46&lt;&gt;0,E46=0,F46&lt;&gt;0),1/((1/C46)+(1/F46)),IF(AND(C46=0,E46&lt;&gt;0,F46&lt;&gt;0),1/((1/E46)+(1/F46)),IF(AND(C46&lt;&gt;0,E46=0,F46=0),1/(1/C46),IF(AND(C46=0,E46&lt;&gt;0,F46=0),1/(1/E46),IF(AND(C46=0,E46=0,F46&lt;&gt;0),1/(1/F46),IF(AND(C46=0,E46=0,F46=0),0)))))))))</f>
        <v>2.9364797081375755</v>
      </c>
      <c r="H46" s="70">
        <f>(IF(AND(C46&lt;&gt;0,D46&lt;&gt;0,F46&lt;&gt;0),1/((1/C46)+(1/D46)+(1/F46)),IF(AND(C46&lt;&gt;0,D46&lt;&gt;0,F46=0), 1/((1/C46)+(1/D46)),IF(AND(C46&lt;&gt;0,D46=0,F46&lt;&gt;0),1/((1/C46)+(1/F46)),IF(AND(C46=0,D46&lt;&gt;0,F46&lt;&gt;0),1/((1/D46)+(1/F46)),IF(AND(C46&lt;&gt;0,D46=0,F46=0),1/(1/C46),IF(AND(C46=0,D46&lt;&gt;0,F46=0),1/(1/D46),IF(AND(C46=0,D46=0,F46&lt;&gt;0),1/(1/F46),IF(AND(C46=0,D46=0,F46=0),0)))))))))</f>
        <v>0.51190139276952773</v>
      </c>
    </row>
    <row r="47" spans="1:8" ht="15" customHeight="1">
      <c r="A47" s="65" t="s">
        <v>404</v>
      </c>
      <c r="B47" s="89">
        <v>0.94399</v>
      </c>
      <c r="C47" s="71">
        <f>IFERROR(C6/$B47,0)</f>
        <v>0</v>
      </c>
      <c r="D47" s="71">
        <f>IFERROR(D6/$B47,0)</f>
        <v>0</v>
      </c>
      <c r="E47" s="71">
        <f>IFERROR(E6/$B47,0)</f>
        <v>0</v>
      </c>
      <c r="F47" s="71">
        <f>IFERROR(F6/$B47,0)</f>
        <v>28.478044803050487</v>
      </c>
      <c r="G47" s="70">
        <f>(IF(AND(C47&lt;&gt;0,E47&lt;&gt;0,F47&lt;&gt;0),1/((1/C47)+(1/E47)+(1/F47)),IF(AND(C47&lt;&gt;0,E47&lt;&gt;0,F47=0), 1/((1/C47)+(1/E47)),IF(AND(C47&lt;&gt;0,E47=0,F47&lt;&gt;0),1/((1/C47)+(1/F47)),IF(AND(C47=0,E47&lt;&gt;0,F47&lt;&gt;0),1/((1/E47)+(1/F47)),IF(AND(C47&lt;&gt;0,E47=0,F47=0),1/(1/C47),IF(AND(C47=0,E47&lt;&gt;0,F47=0),1/(1/E47),IF(AND(C47=0,E47=0,F47&lt;&gt;0),1/(1/F47),IF(AND(C47=0,E47=0,F47=0),0)))))))))</f>
        <v>28.478044803050491</v>
      </c>
      <c r="H47" s="70">
        <f>(IF(AND(C47&lt;&gt;0,D47&lt;&gt;0,F47&lt;&gt;0),1/((1/C47)+(1/D47)+(1/F47)),IF(AND(C47&lt;&gt;0,D47&lt;&gt;0,F47=0), 1/((1/C47)+(1/D47)),IF(AND(C47&lt;&gt;0,D47=0,F47&lt;&gt;0),1/((1/C47)+(1/F47)),IF(AND(C47=0,D47&lt;&gt;0,F47&lt;&gt;0),1/((1/D47)+(1/F47)),IF(AND(C47&lt;&gt;0,D47=0,F47=0),1/(1/C47),IF(AND(C47=0,D47&lt;&gt;0,F47=0),1/(1/D47),IF(AND(C47=0,D47=0,F47&lt;&gt;0),1/(1/F47),IF(AND(C47=0,D47=0,F47=0),0)))))))))</f>
        <v>28.478044803050491</v>
      </c>
    </row>
    <row r="48" spans="1:8">
      <c r="A48" s="63" t="s">
        <v>28</v>
      </c>
      <c r="B48" s="82" t="s">
        <v>6</v>
      </c>
      <c r="C48" s="67">
        <f>IFERROR(1/SUM(1/C49,1/C52,1/C54,1/C58,1/C59,1/C61),0)</f>
        <v>1.2779492060705236E-2</v>
      </c>
      <c r="D48" s="67">
        <f>IFERROR(1/SUM(1/D49,1/D50,1/D51,1/D52,1/D54,1/D58,1/D59,1/D61),0)</f>
        <v>1.2072978380637516E-3</v>
      </c>
      <c r="E48" s="67">
        <f>IFERROR(1/SUM(1/E49,1/E50,1/E51,1/E52,1/E54,1/E58,1/E59,1/E61),0)</f>
        <v>0.1115646554520161</v>
      </c>
      <c r="F48" s="67">
        <f>IFERROR(1/SUM(1/F49,1/F50,1/F51,1/F52,1/F53,1/F54,1/F55,1/F56,1/F57,1/F58,1/F59,1/F60,1/F61,1/F62),0)</f>
        <v>9.2287831016810831</v>
      </c>
      <c r="G48" s="68">
        <f t="shared" ref="G48:H48" si="17">IFERROR(1/SUM(1/G49,1/G50,1/G51,1/G52,1/G53,1/G54,1/G55,1/G56,1/G57,1/G58,1/G59,1/G60,1/G61,1/G62),0)</f>
        <v>1.1451849400056583E-2</v>
      </c>
      <c r="H48" s="68">
        <f t="shared" si="17"/>
        <v>1.1029556695974312E-3</v>
      </c>
    </row>
    <row r="49" spans="1:8" ht="15" customHeight="1">
      <c r="A49" s="65" t="s">
        <v>405</v>
      </c>
      <c r="B49" s="89">
        <v>1</v>
      </c>
      <c r="C49" s="71">
        <f>IFERROR(C23/$B49,0)</f>
        <v>9.0984001659149577E-2</v>
      </c>
      <c r="D49" s="71">
        <f>IFERROR(D23/$B49,0)</f>
        <v>2.4828506339365755E-3</v>
      </c>
      <c r="E49" s="71">
        <f>IFERROR(E23/$B49,0)</f>
        <v>0.22943665331017263</v>
      </c>
      <c r="F49" s="71">
        <f>IFERROR(F23/$B49,0)</f>
        <v>2218.0666803794111</v>
      </c>
      <c r="G49" s="70">
        <f t="shared" ref="G49:G62" si="18">(IF(AND(C49&lt;&gt;0,E49&lt;&gt;0,F49&lt;&gt;0),1/((1/C49)+(1/E49)+(1/F49)),IF(AND(C49&lt;&gt;0,E49&lt;&gt;0,F49=0), 1/((1/C49)+(1/E49)),IF(AND(C49&lt;&gt;0,E49=0,F49&lt;&gt;0),1/((1/C49)+(1/F49)),IF(AND(C49=0,E49&lt;&gt;0,F49&lt;&gt;0),1/((1/E49)+(1/F49)),IF(AND(C49&lt;&gt;0,E49=0,F49=0),1/(1/C49),IF(AND(C49=0,E49&lt;&gt;0,F49=0),1/(1/E49),IF(AND(C49=0,E49=0,F49&lt;&gt;0),1/(1/F49),IF(AND(C49=0,E49=0,F49=0),0)))))))))</f>
        <v>6.5147022822725401E-2</v>
      </c>
      <c r="H49" s="70">
        <f t="shared" ref="H49:H62" si="19">(IF(AND(C49&lt;&gt;0,D49&lt;&gt;0,F49&lt;&gt;0),1/((1/C49)+(1/D49)+(1/F49)),IF(AND(C49&lt;&gt;0,D49&lt;&gt;0,F49=0), 1/((1/C49)+(1/D49)),IF(AND(C49&lt;&gt;0,D49=0,F49&lt;&gt;0),1/((1/C49)+(1/F49)),IF(AND(C49=0,D49&lt;&gt;0,F49&lt;&gt;0),1/((1/D49)+(1/F49)),IF(AND(C49&lt;&gt;0,D49=0,F49=0),1/(1/C49),IF(AND(C49=0,D49&lt;&gt;0,F49=0),1/(1/D49),IF(AND(C49=0,D49=0,F49&lt;&gt;0),1/(1/F49),IF(AND(C49=0,D49=0,F49=0),0)))))))))</f>
        <v>2.4168936313364812E-3</v>
      </c>
    </row>
    <row r="50" spans="1:8" ht="15" customHeight="1">
      <c r="A50" s="65" t="s">
        <v>406</v>
      </c>
      <c r="B50" s="89">
        <v>1</v>
      </c>
      <c r="C50" s="71">
        <f>IFERROR(C25/$B50,0)</f>
        <v>0</v>
      </c>
      <c r="D50" s="71">
        <f>IFERROR(D25/$B50,0)</f>
        <v>14.446021016690516</v>
      </c>
      <c r="E50" s="71">
        <f>IFERROR(E25/$B50,0)</f>
        <v>1334.9360088016299</v>
      </c>
      <c r="F50" s="71">
        <f>IFERROR(F25/$B50,0)</f>
        <v>41937.703478324795</v>
      </c>
      <c r="G50" s="70">
        <f t="shared" si="18"/>
        <v>1293.7540016785058</v>
      </c>
      <c r="H50" s="70">
        <f t="shared" si="19"/>
        <v>14.441046598795243</v>
      </c>
    </row>
    <row r="51" spans="1:8" ht="15" customHeight="1">
      <c r="A51" s="65" t="s">
        <v>407</v>
      </c>
      <c r="B51" s="89">
        <v>1</v>
      </c>
      <c r="C51" s="71">
        <f>IFERROR(C21/$B51,0)</f>
        <v>0</v>
      </c>
      <c r="D51" s="71">
        <f>IFERROR(D21/$B51,0)</f>
        <v>12.417511503848145</v>
      </c>
      <c r="E51" s="71">
        <f>IFERROR(E21/$B51,0)</f>
        <v>1147.484364521086</v>
      </c>
      <c r="F51" s="71">
        <f>IFERROR(F21/$B51,0)</f>
        <v>2297212398.5161858</v>
      </c>
      <c r="G51" s="70">
        <f t="shared" si="18"/>
        <v>1147.4837913395595</v>
      </c>
      <c r="H51" s="70">
        <f t="shared" si="19"/>
        <v>12.417511436725665</v>
      </c>
    </row>
    <row r="52" spans="1:8" ht="15" customHeight="1">
      <c r="A52" s="65" t="s">
        <v>408</v>
      </c>
      <c r="B52" s="89">
        <v>0.99980000000000002</v>
      </c>
      <c r="C52" s="71">
        <f>IFERROR(C17/$B52,0)</f>
        <v>207.15576658846723</v>
      </c>
      <c r="D52" s="71">
        <f>IFERROR(D17/$B52,0)</f>
        <v>2.030909135889901</v>
      </c>
      <c r="E52" s="71">
        <f>IFERROR(E17/$B52,0)</f>
        <v>187.67338999239067</v>
      </c>
      <c r="F52" s="71">
        <f>IFERROR(F17/$B52,0)</f>
        <v>62.761146116926355</v>
      </c>
      <c r="G52" s="70">
        <f t="shared" si="18"/>
        <v>38.330160304999211</v>
      </c>
      <c r="H52" s="70">
        <f t="shared" si="19"/>
        <v>1.9487440161305547</v>
      </c>
    </row>
    <row r="53" spans="1:8" ht="15" customHeight="1">
      <c r="A53" s="65" t="s">
        <v>409</v>
      </c>
      <c r="B53" s="89">
        <v>2.0000000000000001E-4</v>
      </c>
      <c r="C53" s="71">
        <f>IFERROR(C5/$B53,0)</f>
        <v>0</v>
      </c>
      <c r="D53" s="71">
        <f>IFERROR(D5/$B53,0)</f>
        <v>0</v>
      </c>
      <c r="E53" s="71">
        <f>IFERROR(E5/$B53,0)</f>
        <v>0</v>
      </c>
      <c r="F53" s="71">
        <f>IFERROR(F5/$B53,0)</f>
        <v>611058498.00530541</v>
      </c>
      <c r="G53" s="70">
        <f t="shared" si="18"/>
        <v>611058498.00530541</v>
      </c>
      <c r="H53" s="70">
        <f t="shared" si="19"/>
        <v>611058498.00530541</v>
      </c>
    </row>
    <row r="54" spans="1:8" ht="15" customHeight="1">
      <c r="A54" s="65" t="s">
        <v>410</v>
      </c>
      <c r="B54" s="89">
        <v>0.99999979999999999</v>
      </c>
      <c r="C54" s="71">
        <f>IFERROR(C9/$B54,0)</f>
        <v>276.61584560232859</v>
      </c>
      <c r="D54" s="71">
        <f>IFERROR(D9/$B54,0)</f>
        <v>2.585285699005853</v>
      </c>
      <c r="E54" s="71">
        <f>IFERROR(E9/$B54,0)</f>
        <v>238.90253022997811</v>
      </c>
      <c r="F54" s="71">
        <f>IFERROR(F9/$B54,0)</f>
        <v>11.182336384650068</v>
      </c>
      <c r="G54" s="70">
        <f t="shared" si="18"/>
        <v>10.285136975439048</v>
      </c>
      <c r="H54" s="70">
        <f t="shared" si="19"/>
        <v>2.0840005743918479</v>
      </c>
    </row>
    <row r="55" spans="1:8" ht="15" customHeight="1">
      <c r="A55" s="65" t="s">
        <v>411</v>
      </c>
      <c r="B55" s="89">
        <v>1.9999999999999999E-7</v>
      </c>
      <c r="C55" s="71">
        <f>IFERROR(C24/$B55,0)</f>
        <v>0</v>
      </c>
      <c r="D55" s="71">
        <f>IFERROR(D24/$B55,0)</f>
        <v>0</v>
      </c>
      <c r="E55" s="71">
        <f>IFERROR(E24/$B55,0)</f>
        <v>0</v>
      </c>
      <c r="F55" s="71">
        <f>IFERROR(F24/$B55,0)</f>
        <v>107158295205.64619</v>
      </c>
      <c r="G55" s="70">
        <f t="shared" si="18"/>
        <v>107158295205.64618</v>
      </c>
      <c r="H55" s="70">
        <f t="shared" si="19"/>
        <v>107158295205.64618</v>
      </c>
    </row>
    <row r="56" spans="1:8" ht="15" customHeight="1">
      <c r="A56" s="65" t="s">
        <v>412</v>
      </c>
      <c r="B56" s="89">
        <v>0.99979000004200003</v>
      </c>
      <c r="C56" s="71">
        <f>IFERROR(C20/$B56,0)</f>
        <v>0</v>
      </c>
      <c r="D56" s="71">
        <f>IFERROR(D20/$B56,0)</f>
        <v>0</v>
      </c>
      <c r="E56" s="71">
        <f>IFERROR(E20/$B56,0)</f>
        <v>0</v>
      </c>
      <c r="F56" s="71">
        <f>IFERROR(F20/$B56,0)</f>
        <v>198742.24594220924</v>
      </c>
      <c r="G56" s="70">
        <f t="shared" si="18"/>
        <v>198742.24594220924</v>
      </c>
      <c r="H56" s="70">
        <f t="shared" si="19"/>
        <v>198742.24594220924</v>
      </c>
    </row>
    <row r="57" spans="1:8" ht="15" customHeight="1">
      <c r="A57" s="65" t="s">
        <v>413</v>
      </c>
      <c r="B57" s="89">
        <v>2.0999995799999999E-4</v>
      </c>
      <c r="C57" s="71">
        <f>IFERROR(C29/$B57,0)</f>
        <v>0</v>
      </c>
      <c r="D57" s="71">
        <f>IFERROR(D29/$B57,0)</f>
        <v>0</v>
      </c>
      <c r="E57" s="71">
        <f>IFERROR(E29/$B57,0)</f>
        <v>0</v>
      </c>
      <c r="F57" s="71">
        <f>IFERROR(F29/$B57,0)</f>
        <v>28406.650733229671</v>
      </c>
      <c r="G57" s="70">
        <f t="shared" si="18"/>
        <v>28406.650733229671</v>
      </c>
      <c r="H57" s="70">
        <f t="shared" si="19"/>
        <v>28406.650733229671</v>
      </c>
    </row>
    <row r="58" spans="1:8" ht="15" customHeight="1">
      <c r="A58" s="65" t="s">
        <v>414</v>
      </c>
      <c r="B58" s="89">
        <v>1</v>
      </c>
      <c r="C58" s="71">
        <f>IFERROR(C16/$B58,0)</f>
        <v>4.0407600736857605E-2</v>
      </c>
      <c r="D58" s="71">
        <f>IFERROR(D16/$B58,0)</f>
        <v>4.2410218125284787E-3</v>
      </c>
      <c r="E58" s="71">
        <f>IFERROR(E16/$B58,0)</f>
        <v>0.39190672124291492</v>
      </c>
      <c r="F58" s="71">
        <f>IFERROR(F16/$B58,0)</f>
        <v>6335.860002359158</v>
      </c>
      <c r="G58" s="70">
        <f t="shared" si="18"/>
        <v>3.6630567060974409E-2</v>
      </c>
      <c r="H58" s="70">
        <f t="shared" si="19"/>
        <v>3.8381791535459808E-3</v>
      </c>
    </row>
    <row r="59" spans="1:8" ht="15" customHeight="1">
      <c r="A59" s="65" t="s">
        <v>415</v>
      </c>
      <c r="B59" s="89">
        <v>1</v>
      </c>
      <c r="C59" s="71">
        <f>IFERROR(C7/$B59,0)</f>
        <v>22.897640417552644</v>
      </c>
      <c r="D59" s="71">
        <f>IFERROR(D7/$B59,0)</f>
        <v>0.17516001047634747</v>
      </c>
      <c r="E59" s="71">
        <f>IFERROR(E7/$B59,0)</f>
        <v>16.186284445854639</v>
      </c>
      <c r="F59" s="71">
        <f>IFERROR(F7/$B59,0)</f>
        <v>430.45564699057383</v>
      </c>
      <c r="G59" s="70">
        <f t="shared" si="18"/>
        <v>9.2784654274973626</v>
      </c>
      <c r="H59" s="70">
        <f t="shared" si="19"/>
        <v>0.17376009237201251</v>
      </c>
    </row>
    <row r="60" spans="1:8" ht="15" customHeight="1">
      <c r="A60" s="65" t="s">
        <v>416</v>
      </c>
      <c r="B60" s="91">
        <v>1.9000000000000001E-8</v>
      </c>
      <c r="C60" s="71">
        <f>IFERROR(C12/$B60,0)</f>
        <v>0</v>
      </c>
      <c r="D60" s="71">
        <f>IFERROR(D12/$B60,0)</f>
        <v>0</v>
      </c>
      <c r="E60" s="71">
        <f>IFERROR(E12/$B60,0)</f>
        <v>0</v>
      </c>
      <c r="F60" s="71">
        <f>IFERROR(F12/$B60,0)</f>
        <v>5385123983.0988245</v>
      </c>
      <c r="G60" s="70">
        <f t="shared" si="18"/>
        <v>5385123983.0988245</v>
      </c>
      <c r="H60" s="70">
        <f t="shared" si="19"/>
        <v>5385123983.0988245</v>
      </c>
    </row>
    <row r="61" spans="1:8" ht="15" customHeight="1">
      <c r="A61" s="65" t="s">
        <v>417</v>
      </c>
      <c r="B61" s="89">
        <v>1</v>
      </c>
      <c r="C61" s="71">
        <f>IFERROR(C18/$B61,0)</f>
        <v>2.3551858715197008E-2</v>
      </c>
      <c r="D61" s="71">
        <f>IFERROR(D18/$B61,0)</f>
        <v>5.464393489219386E-3</v>
      </c>
      <c r="E61" s="71">
        <f>IFERROR(E18/$B61,0)</f>
        <v>0.50495673698606347</v>
      </c>
      <c r="F61" s="71">
        <f>IFERROR(F18/$B61,0)</f>
        <v>1691932.5798891264</v>
      </c>
      <c r="G61" s="70">
        <f t="shared" si="18"/>
        <v>2.2502320048045504E-2</v>
      </c>
      <c r="H61" s="70">
        <f t="shared" si="19"/>
        <v>4.4353289383587766E-3</v>
      </c>
    </row>
    <row r="62" spans="1:8" ht="15" customHeight="1">
      <c r="A62" s="65" t="s">
        <v>418</v>
      </c>
      <c r="B62" s="89">
        <v>1.339E-6</v>
      </c>
      <c r="C62" s="71">
        <f>IFERROR(C27/$B62,0)</f>
        <v>0</v>
      </c>
      <c r="D62" s="71">
        <f>IFERROR(D27/$B62,0)</f>
        <v>0</v>
      </c>
      <c r="E62" s="71">
        <f>IFERROR(E27/$B62,0)</f>
        <v>0</v>
      </c>
      <c r="F62" s="71">
        <f>IFERROR(F27/$B62,0)</f>
        <v>178102100.41584897</v>
      </c>
      <c r="G62" s="70">
        <f t="shared" si="18"/>
        <v>178102100.41584897</v>
      </c>
      <c r="H62" s="70">
        <f t="shared" si="19"/>
        <v>178102100.41584897</v>
      </c>
    </row>
    <row r="63" spans="1:8">
      <c r="A63" s="63" t="s">
        <v>30</v>
      </c>
      <c r="B63" s="82" t="s">
        <v>6</v>
      </c>
      <c r="C63" s="67">
        <f>IFERROR(1/SUM(1/C66,1/C68,1/C72,1/C73,1/C75),0)</f>
        <v>1.4867804079643809E-2</v>
      </c>
      <c r="D63" s="67">
        <f>IFERROR(1/SUM(1/D64,1/D65,1/D66,1/D68,1/D72,1/D73,1/D75),0)</f>
        <v>2.3499930479441364E-3</v>
      </c>
      <c r="E63" s="67">
        <f t="shared" ref="E63" si="20">IFERROR(1/SUM(1/E64,1/E65,1/E66,1/E68,1/E72,1/E73,1/E75),0)</f>
        <v>0.21715947502150376</v>
      </c>
      <c r="F63" s="67">
        <f>IFERROR(1/SUM(1/F64,1/F65,1/F66,1/F67,1/F68,1/F69,1/F70,1/F71,1/F72,1/F73,1/F74,1/F75,1/F76),0)</f>
        <v>9.2673420369668467</v>
      </c>
      <c r="G63" s="68">
        <f t="shared" ref="G63:H63" si="21">IFERROR(1/SUM(1/G64,1/G65,1/G66,1/G67,1/G68,1/G69,1/G70,1/G71,1/G72,1/G73,1/G74,1/G75,1/G76),0)</f>
        <v>1.3894244988376075E-2</v>
      </c>
      <c r="H63" s="68">
        <f t="shared" si="21"/>
        <v>2.0288069993565742E-3</v>
      </c>
    </row>
    <row r="64" spans="1:8" ht="15" customHeight="1">
      <c r="A64" s="65" t="s">
        <v>406</v>
      </c>
      <c r="B64" s="89">
        <v>1</v>
      </c>
      <c r="C64" s="72">
        <f>IFERROR(C25/$B64,0)</f>
        <v>0</v>
      </c>
      <c r="D64" s="72">
        <f>IFERROR(D25/$B64,0)</f>
        <v>14.446021016690516</v>
      </c>
      <c r="E64" s="72">
        <f>IFERROR(E25/$B64,0)</f>
        <v>1334.9360088016299</v>
      </c>
      <c r="F64" s="72">
        <f>IFERROR(F25/$B64,0)</f>
        <v>41937.703478324795</v>
      </c>
      <c r="G64" s="70">
        <f t="shared" ref="G64:G76" si="22">(IF(AND(C64&lt;&gt;0,E64&lt;&gt;0,F64&lt;&gt;0),1/((1/C64)+(1/E64)+(1/F64)),IF(AND(C64&lt;&gt;0,E64&lt;&gt;0,F64=0), 1/((1/C64)+(1/E64)),IF(AND(C64&lt;&gt;0,E64=0,F64&lt;&gt;0),1/((1/C64)+(1/F64)),IF(AND(C64=0,E64&lt;&gt;0,F64&lt;&gt;0),1/((1/E64)+(1/F64)),IF(AND(C64&lt;&gt;0,E64=0,F64=0),1/(1/C64),IF(AND(C64=0,E64&lt;&gt;0,F64=0),1/(1/E64),IF(AND(C64=0,E64=0,F64&lt;&gt;0),1/(1/F64),IF(AND(C64=0,E64=0,F64=0),0)))))))))</f>
        <v>1293.7540016785058</v>
      </c>
      <c r="H64" s="70">
        <f t="shared" ref="H64:H76" si="23">(IF(AND(C64&lt;&gt;0,D64&lt;&gt;0,F64&lt;&gt;0),1/((1/C64)+(1/D64)+(1/F64)),IF(AND(C64&lt;&gt;0,D64&lt;&gt;0,F64=0), 1/((1/C64)+(1/D64)),IF(AND(C64&lt;&gt;0,D64=0,F64&lt;&gt;0),1/((1/C64)+(1/F64)),IF(AND(C64=0,D64&lt;&gt;0,F64&lt;&gt;0),1/((1/D64)+(1/F64)),IF(AND(C64&lt;&gt;0,D64=0,F64=0),1/(1/C64),IF(AND(C64=0,D64&lt;&gt;0,F64=0),1/(1/D64),IF(AND(C64=0,D64=0,F64&lt;&gt;0),1/(1/F64),IF(AND(C64=0,D64=0,F64=0),0)))))))))</f>
        <v>14.441046598795243</v>
      </c>
    </row>
    <row r="65" spans="1:8" ht="15" customHeight="1">
      <c r="A65" s="65" t="s">
        <v>407</v>
      </c>
      <c r="B65" s="89">
        <v>1</v>
      </c>
      <c r="C65" s="72">
        <f>IFERROR(C21/$B65,0)</f>
        <v>0</v>
      </c>
      <c r="D65" s="72">
        <f>IFERROR(D21/$B65,0)</f>
        <v>12.417511503848145</v>
      </c>
      <c r="E65" s="72">
        <f>IFERROR(E21/$B65,0)</f>
        <v>1147.484364521086</v>
      </c>
      <c r="F65" s="72">
        <f>IFERROR(F21/$B65,0)</f>
        <v>2297212398.5161858</v>
      </c>
      <c r="G65" s="70">
        <f t="shared" si="22"/>
        <v>1147.4837913395595</v>
      </c>
      <c r="H65" s="70">
        <f t="shared" si="23"/>
        <v>12.417511436725665</v>
      </c>
    </row>
    <row r="66" spans="1:8" ht="15" customHeight="1">
      <c r="A66" s="65" t="s">
        <v>408</v>
      </c>
      <c r="B66" s="89">
        <v>0.99980000000000002</v>
      </c>
      <c r="C66" s="72">
        <f>IFERROR(C17/$B66,0)</f>
        <v>207.15576658846723</v>
      </c>
      <c r="D66" s="72">
        <f>IFERROR(D17/$B66,0)</f>
        <v>2.030909135889901</v>
      </c>
      <c r="E66" s="72">
        <f>IFERROR(E17/$B66,0)</f>
        <v>187.67338999239067</v>
      </c>
      <c r="F66" s="72">
        <f>IFERROR(F17/$B66,0)</f>
        <v>62.761146116926355</v>
      </c>
      <c r="G66" s="70">
        <f t="shared" si="22"/>
        <v>38.330160304999211</v>
      </c>
      <c r="H66" s="70">
        <f t="shared" si="23"/>
        <v>1.9487440161305547</v>
      </c>
    </row>
    <row r="67" spans="1:8" ht="15" customHeight="1">
      <c r="A67" s="65" t="s">
        <v>409</v>
      </c>
      <c r="B67" s="89">
        <v>2.0000000000000001E-4</v>
      </c>
      <c r="C67" s="72">
        <f>IFERROR(C5/$B67,0)</f>
        <v>0</v>
      </c>
      <c r="D67" s="72">
        <f>IFERROR(D5/$B67,0)</f>
        <v>0</v>
      </c>
      <c r="E67" s="72">
        <f>IFERROR(E5/$B67,0)</f>
        <v>0</v>
      </c>
      <c r="F67" s="72">
        <f>IFERROR(F5/$B67,0)</f>
        <v>611058498.00530541</v>
      </c>
      <c r="G67" s="70">
        <f t="shared" si="22"/>
        <v>611058498.00530541</v>
      </c>
      <c r="H67" s="70">
        <f t="shared" si="23"/>
        <v>611058498.00530541</v>
      </c>
    </row>
    <row r="68" spans="1:8" ht="15" customHeight="1">
      <c r="A68" s="65" t="s">
        <v>410</v>
      </c>
      <c r="B68" s="89">
        <v>0.99999979999999999</v>
      </c>
      <c r="C68" s="72">
        <f>IFERROR(C9/$B68,0)</f>
        <v>276.61584560232859</v>
      </c>
      <c r="D68" s="72">
        <f>IFERROR(D9/$B68,0)</f>
        <v>2.585285699005853</v>
      </c>
      <c r="E68" s="72">
        <f>IFERROR(E9/$B68,0)</f>
        <v>238.90253022997811</v>
      </c>
      <c r="F68" s="72">
        <f>IFERROR(F9/$B68,0)</f>
        <v>11.182336384650068</v>
      </c>
      <c r="G68" s="70">
        <f t="shared" si="22"/>
        <v>10.285136975439048</v>
      </c>
      <c r="H68" s="70">
        <f t="shared" si="23"/>
        <v>2.0840005743918479</v>
      </c>
    </row>
    <row r="69" spans="1:8" ht="15" customHeight="1">
      <c r="A69" s="65" t="s">
        <v>411</v>
      </c>
      <c r="B69" s="89">
        <v>1.9999999999999999E-7</v>
      </c>
      <c r="C69" s="72">
        <f>IFERROR(C24/$B69,0)</f>
        <v>0</v>
      </c>
      <c r="D69" s="72">
        <f>IFERROR(D24/$B69,0)</f>
        <v>0</v>
      </c>
      <c r="E69" s="72">
        <f>IFERROR(E24/$B69,0)</f>
        <v>0</v>
      </c>
      <c r="F69" s="72">
        <f>IFERROR(F24/$B69,0)</f>
        <v>107158295205.64619</v>
      </c>
      <c r="G69" s="70">
        <f t="shared" si="22"/>
        <v>107158295205.64618</v>
      </c>
      <c r="H69" s="70">
        <f t="shared" si="23"/>
        <v>107158295205.64618</v>
      </c>
    </row>
    <row r="70" spans="1:8" ht="15" customHeight="1">
      <c r="A70" s="65" t="s">
        <v>412</v>
      </c>
      <c r="B70" s="89">
        <v>0.99979000004200003</v>
      </c>
      <c r="C70" s="72">
        <f>IFERROR(C20/$B70,0)</f>
        <v>0</v>
      </c>
      <c r="D70" s="72">
        <f>IFERROR(D20/$B70,0)</f>
        <v>0</v>
      </c>
      <c r="E70" s="72">
        <f>IFERROR(E20/$B70,0)</f>
        <v>0</v>
      </c>
      <c r="F70" s="72">
        <f>IFERROR(F20/$B70,0)</f>
        <v>198742.24594220924</v>
      </c>
      <c r="G70" s="70">
        <f t="shared" si="22"/>
        <v>198742.24594220924</v>
      </c>
      <c r="H70" s="70">
        <f t="shared" si="23"/>
        <v>198742.24594220924</v>
      </c>
    </row>
    <row r="71" spans="1:8" ht="15" customHeight="1">
      <c r="A71" s="65" t="s">
        <v>413</v>
      </c>
      <c r="B71" s="89">
        <v>2.0999995799999999E-4</v>
      </c>
      <c r="C71" s="72">
        <f>IFERROR(C29/$B71,0)</f>
        <v>0</v>
      </c>
      <c r="D71" s="72">
        <f>IFERROR(D29/$B71,0)</f>
        <v>0</v>
      </c>
      <c r="E71" s="72">
        <f>IFERROR(E29/$B71,0)</f>
        <v>0</v>
      </c>
      <c r="F71" s="72">
        <f>IFERROR(F29/$B71,0)</f>
        <v>28406.650733229671</v>
      </c>
      <c r="G71" s="70">
        <f t="shared" si="22"/>
        <v>28406.650733229671</v>
      </c>
      <c r="H71" s="70">
        <f t="shared" si="23"/>
        <v>28406.650733229671</v>
      </c>
    </row>
    <row r="72" spans="1:8" ht="15" customHeight="1">
      <c r="A72" s="65" t="s">
        <v>414</v>
      </c>
      <c r="B72" s="89">
        <v>1</v>
      </c>
      <c r="C72" s="72">
        <f>IFERROR(C16/$B72,0)</f>
        <v>4.0407600736857605E-2</v>
      </c>
      <c r="D72" s="72">
        <f>IFERROR(D16/$B72,0)</f>
        <v>4.2410218125284787E-3</v>
      </c>
      <c r="E72" s="72">
        <f>IFERROR(E16/$B72,0)</f>
        <v>0.39190672124291492</v>
      </c>
      <c r="F72" s="72">
        <f>IFERROR(F16/$B72,0)</f>
        <v>6335.860002359158</v>
      </c>
      <c r="G72" s="70">
        <f t="shared" si="22"/>
        <v>3.6630567060974409E-2</v>
      </c>
      <c r="H72" s="70">
        <f t="shared" si="23"/>
        <v>3.8381791535459808E-3</v>
      </c>
    </row>
    <row r="73" spans="1:8" ht="15" customHeight="1">
      <c r="A73" s="65" t="s">
        <v>415</v>
      </c>
      <c r="B73" s="89">
        <v>1</v>
      </c>
      <c r="C73" s="72">
        <f>IFERROR(C7/$B73,0)</f>
        <v>22.897640417552644</v>
      </c>
      <c r="D73" s="72">
        <f>IFERROR(D7/$B73,0)</f>
        <v>0.17516001047634747</v>
      </c>
      <c r="E73" s="72">
        <f>IFERROR(E7/$B73,0)</f>
        <v>16.186284445854639</v>
      </c>
      <c r="F73" s="72">
        <f>IFERROR(F7/$B73,0)</f>
        <v>430.45564699057383</v>
      </c>
      <c r="G73" s="70">
        <f t="shared" si="22"/>
        <v>9.2784654274973626</v>
      </c>
      <c r="H73" s="70">
        <f t="shared" si="23"/>
        <v>0.17376009237201251</v>
      </c>
    </row>
    <row r="74" spans="1:8" ht="15" customHeight="1">
      <c r="A74" s="65" t="s">
        <v>416</v>
      </c>
      <c r="B74" s="91">
        <v>1.9000000000000001E-8</v>
      </c>
      <c r="C74" s="72">
        <f>IFERROR(C12/$B74,0)</f>
        <v>0</v>
      </c>
      <c r="D74" s="72">
        <f>IFERROR(D12/$B74,0)</f>
        <v>0</v>
      </c>
      <c r="E74" s="72">
        <f>IFERROR(E12/$B74,0)</f>
        <v>0</v>
      </c>
      <c r="F74" s="72">
        <f>IFERROR(F12/$B74,0)</f>
        <v>5385123983.0988245</v>
      </c>
      <c r="G74" s="70">
        <f t="shared" si="22"/>
        <v>5385123983.0988245</v>
      </c>
      <c r="H74" s="70">
        <f t="shared" si="23"/>
        <v>5385123983.0988245</v>
      </c>
    </row>
    <row r="75" spans="1:8" ht="15" customHeight="1">
      <c r="A75" s="65" t="s">
        <v>417</v>
      </c>
      <c r="B75" s="89">
        <v>1</v>
      </c>
      <c r="C75" s="72">
        <f>IFERROR(C18/$B75,0)</f>
        <v>2.3551858715197008E-2</v>
      </c>
      <c r="D75" s="72">
        <f>IFERROR(D18/$B75,0)</f>
        <v>5.464393489219386E-3</v>
      </c>
      <c r="E75" s="72">
        <f>IFERROR(E18/$B75,0)</f>
        <v>0.50495673698606347</v>
      </c>
      <c r="F75" s="72">
        <f>IFERROR(F18/$B75,0)</f>
        <v>1691932.5798891264</v>
      </c>
      <c r="G75" s="70">
        <f t="shared" si="22"/>
        <v>2.2502320048045504E-2</v>
      </c>
      <c r="H75" s="70">
        <f t="shared" si="23"/>
        <v>4.4353289383587766E-3</v>
      </c>
    </row>
    <row r="76" spans="1:8" ht="15" customHeight="1">
      <c r="A76" s="65" t="s">
        <v>418</v>
      </c>
      <c r="B76" s="89">
        <v>1.339E-6</v>
      </c>
      <c r="C76" s="72">
        <f>IFERROR(C27/$B76,0)</f>
        <v>0</v>
      </c>
      <c r="D76" s="72">
        <f>IFERROR(D27/$B76,0)</f>
        <v>0</v>
      </c>
      <c r="E76" s="72">
        <f>IFERROR(E27/$B76,0)</f>
        <v>0</v>
      </c>
      <c r="F76" s="72">
        <f>IFERROR(F27/$B76,0)</f>
        <v>178102100.41584897</v>
      </c>
      <c r="G76" s="70">
        <f t="shared" si="22"/>
        <v>178102100.41584897</v>
      </c>
      <c r="H76" s="70">
        <f t="shared" si="23"/>
        <v>178102100.41584897</v>
      </c>
    </row>
  </sheetData>
  <sheetProtection algorithmName="SHA-512" hashValue="A6bLHS6PYWUyPqDcxC1L+Ji3smjBqJHXWrSLQgkS24RJ0RqGpo4RGiD3Ps/Qvh4fhz6iGf5udzKHLvMBQbqOaw==" saltValue="DWnbkugWkp6xwYpjxGPdBg==" spinCount="100000" sheet="1" objects="1" scenarios="1"/>
  <autoFilter ref="A1:H76" xr:uid="{00000000-0009-0000-0000-00000A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sheetPr>
  <dimension ref="A1:H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4.73046875" style="4" bestFit="1" customWidth="1"/>
    <col min="4" max="4" width="17.73046875" style="4" bestFit="1" customWidth="1"/>
    <col min="5" max="5" width="17.59765625" style="4" bestFit="1" customWidth="1"/>
    <col min="6" max="6" width="14.86328125" style="4" bestFit="1" customWidth="1"/>
    <col min="7" max="7" width="16.3984375" style="4" bestFit="1" customWidth="1"/>
    <col min="8" max="8" width="16.265625" style="4" bestFit="1" customWidth="1"/>
    <col min="9" max="239" width="9.1328125" style="4"/>
    <col min="240" max="240" width="15.3984375" style="4" bestFit="1" customWidth="1"/>
    <col min="241" max="241" width="11.1328125" style="4" bestFit="1" customWidth="1"/>
    <col min="242" max="242" width="14.59765625" style="4" bestFit="1" customWidth="1"/>
    <col min="243" max="243" width="17.3984375" style="4" bestFit="1" customWidth="1"/>
    <col min="244" max="244" width="17.59765625" style="4" bestFit="1" customWidth="1"/>
    <col min="245" max="245" width="14.73046875" style="4" bestFit="1" customWidth="1"/>
    <col min="246" max="246" width="14.3984375" style="4" bestFit="1" customWidth="1"/>
    <col min="247" max="247" width="12.1328125" style="4" bestFit="1" customWidth="1"/>
    <col min="248" max="248" width="12.3984375" style="4" bestFit="1" customWidth="1"/>
    <col min="249" max="250" width="13.86328125" style="4" bestFit="1" customWidth="1"/>
    <col min="251" max="251" width="14.86328125" style="4" bestFit="1" customWidth="1"/>
    <col min="252" max="252" width="12.1328125" style="4" bestFit="1" customWidth="1"/>
    <col min="253" max="253" width="12.3984375" style="4" bestFit="1" customWidth="1"/>
    <col min="254" max="255" width="13.86328125" style="4" bestFit="1" customWidth="1"/>
    <col min="256" max="256" width="14.86328125" style="4" bestFit="1" customWidth="1"/>
    <col min="257" max="495" width="9.1328125" style="4"/>
    <col min="496" max="496" width="15.3984375" style="4" bestFit="1" customWidth="1"/>
    <col min="497" max="497" width="11.1328125" style="4" bestFit="1" customWidth="1"/>
    <col min="498" max="498" width="14.59765625" style="4" bestFit="1" customWidth="1"/>
    <col min="499" max="499" width="17.3984375" style="4" bestFit="1" customWidth="1"/>
    <col min="500" max="500" width="17.59765625" style="4" bestFit="1" customWidth="1"/>
    <col min="501" max="501" width="14.73046875" style="4" bestFit="1" customWidth="1"/>
    <col min="502" max="502" width="14.3984375" style="4" bestFit="1" customWidth="1"/>
    <col min="503" max="503" width="12.1328125" style="4" bestFit="1" customWidth="1"/>
    <col min="504" max="504" width="12.3984375" style="4" bestFit="1" customWidth="1"/>
    <col min="505" max="506" width="13.86328125" style="4" bestFit="1" customWidth="1"/>
    <col min="507" max="507" width="14.86328125" style="4" bestFit="1" customWidth="1"/>
    <col min="508" max="508" width="12.1328125" style="4" bestFit="1" customWidth="1"/>
    <col min="509" max="509" width="12.3984375" style="4" bestFit="1" customWidth="1"/>
    <col min="510" max="511" width="13.86328125" style="4" bestFit="1" customWidth="1"/>
    <col min="512" max="512" width="14.86328125" style="4" bestFit="1" customWidth="1"/>
    <col min="513" max="751" width="9.1328125" style="4"/>
    <col min="752" max="752" width="15.3984375" style="4" bestFit="1" customWidth="1"/>
    <col min="753" max="753" width="11.1328125" style="4" bestFit="1" customWidth="1"/>
    <col min="754" max="754" width="14.59765625" style="4" bestFit="1" customWidth="1"/>
    <col min="755" max="755" width="17.3984375" style="4" bestFit="1" customWidth="1"/>
    <col min="756" max="756" width="17.59765625" style="4" bestFit="1" customWidth="1"/>
    <col min="757" max="757" width="14.73046875" style="4" bestFit="1" customWidth="1"/>
    <col min="758" max="758" width="14.3984375" style="4" bestFit="1" customWidth="1"/>
    <col min="759" max="759" width="12.1328125" style="4" bestFit="1" customWidth="1"/>
    <col min="760" max="760" width="12.3984375" style="4" bestFit="1" customWidth="1"/>
    <col min="761" max="762" width="13.86328125" style="4" bestFit="1" customWidth="1"/>
    <col min="763" max="763" width="14.86328125" style="4" bestFit="1" customWidth="1"/>
    <col min="764" max="764" width="12.1328125" style="4" bestFit="1" customWidth="1"/>
    <col min="765" max="765" width="12.3984375" style="4" bestFit="1" customWidth="1"/>
    <col min="766" max="767" width="13.86328125" style="4" bestFit="1" customWidth="1"/>
    <col min="768" max="768" width="14.86328125" style="4" bestFit="1" customWidth="1"/>
    <col min="769" max="1007" width="9.1328125" style="4"/>
    <col min="1008" max="1008" width="15.3984375" style="4" bestFit="1" customWidth="1"/>
    <col min="1009" max="1009" width="11.1328125" style="4" bestFit="1" customWidth="1"/>
    <col min="1010" max="1010" width="14.59765625" style="4" bestFit="1" customWidth="1"/>
    <col min="1011" max="1011" width="17.3984375" style="4" bestFit="1" customWidth="1"/>
    <col min="1012" max="1012" width="17.59765625" style="4" bestFit="1" customWidth="1"/>
    <col min="1013" max="1013" width="14.73046875" style="4" bestFit="1" customWidth="1"/>
    <col min="1014" max="1014" width="14.3984375" style="4" bestFit="1" customWidth="1"/>
    <col min="1015" max="1015" width="12.1328125" style="4" bestFit="1" customWidth="1"/>
    <col min="1016" max="1016" width="12.3984375" style="4" bestFit="1" customWidth="1"/>
    <col min="1017" max="1018" width="13.86328125" style="4" bestFit="1" customWidth="1"/>
    <col min="1019" max="1019" width="14.86328125" style="4" bestFit="1" customWidth="1"/>
    <col min="1020" max="1020" width="12.1328125" style="4" bestFit="1" customWidth="1"/>
    <col min="1021" max="1021" width="12.3984375" style="4" bestFit="1" customWidth="1"/>
    <col min="1022" max="1023" width="13.86328125" style="4" bestFit="1" customWidth="1"/>
    <col min="1024" max="1024" width="14.86328125" style="4" bestFit="1" customWidth="1"/>
    <col min="1025" max="1263" width="9.1328125" style="4"/>
    <col min="1264" max="1264" width="15.3984375" style="4" bestFit="1" customWidth="1"/>
    <col min="1265" max="1265" width="11.1328125" style="4" bestFit="1" customWidth="1"/>
    <col min="1266" max="1266" width="14.59765625" style="4" bestFit="1" customWidth="1"/>
    <col min="1267" max="1267" width="17.3984375" style="4" bestFit="1" customWidth="1"/>
    <col min="1268" max="1268" width="17.59765625" style="4" bestFit="1" customWidth="1"/>
    <col min="1269" max="1269" width="14.73046875" style="4" bestFit="1" customWidth="1"/>
    <col min="1270" max="1270" width="14.3984375" style="4" bestFit="1" customWidth="1"/>
    <col min="1271" max="1271" width="12.1328125" style="4" bestFit="1" customWidth="1"/>
    <col min="1272" max="1272" width="12.3984375" style="4" bestFit="1" customWidth="1"/>
    <col min="1273" max="1274" width="13.86328125" style="4" bestFit="1" customWidth="1"/>
    <col min="1275" max="1275" width="14.86328125" style="4" bestFit="1" customWidth="1"/>
    <col min="1276" max="1276" width="12.1328125" style="4" bestFit="1" customWidth="1"/>
    <col min="1277" max="1277" width="12.3984375" style="4" bestFit="1" customWidth="1"/>
    <col min="1278" max="1279" width="13.86328125" style="4" bestFit="1" customWidth="1"/>
    <col min="1280" max="1280" width="14.86328125" style="4" bestFit="1" customWidth="1"/>
    <col min="1281" max="1519" width="9.1328125" style="4"/>
    <col min="1520" max="1520" width="15.3984375" style="4" bestFit="1" customWidth="1"/>
    <col min="1521" max="1521" width="11.1328125" style="4" bestFit="1" customWidth="1"/>
    <col min="1522" max="1522" width="14.59765625" style="4" bestFit="1" customWidth="1"/>
    <col min="1523" max="1523" width="17.3984375" style="4" bestFit="1" customWidth="1"/>
    <col min="1524" max="1524" width="17.59765625" style="4" bestFit="1" customWidth="1"/>
    <col min="1525" max="1525" width="14.73046875" style="4" bestFit="1" customWidth="1"/>
    <col min="1526" max="1526" width="14.3984375" style="4" bestFit="1" customWidth="1"/>
    <col min="1527" max="1527" width="12.1328125" style="4" bestFit="1" customWidth="1"/>
    <col min="1528" max="1528" width="12.3984375" style="4" bestFit="1" customWidth="1"/>
    <col min="1529" max="1530" width="13.86328125" style="4" bestFit="1" customWidth="1"/>
    <col min="1531" max="1531" width="14.86328125" style="4" bestFit="1" customWidth="1"/>
    <col min="1532" max="1532" width="12.1328125" style="4" bestFit="1" customWidth="1"/>
    <col min="1533" max="1533" width="12.3984375" style="4" bestFit="1" customWidth="1"/>
    <col min="1534" max="1535" width="13.86328125" style="4" bestFit="1" customWidth="1"/>
    <col min="1536" max="1536" width="14.86328125" style="4" bestFit="1" customWidth="1"/>
    <col min="1537" max="1775" width="9.1328125" style="4"/>
    <col min="1776" max="1776" width="15.3984375" style="4" bestFit="1" customWidth="1"/>
    <col min="1777" max="1777" width="11.1328125" style="4" bestFit="1" customWidth="1"/>
    <col min="1778" max="1778" width="14.59765625" style="4" bestFit="1" customWidth="1"/>
    <col min="1779" max="1779" width="17.3984375" style="4" bestFit="1" customWidth="1"/>
    <col min="1780" max="1780" width="17.59765625" style="4" bestFit="1" customWidth="1"/>
    <col min="1781" max="1781" width="14.73046875" style="4" bestFit="1" customWidth="1"/>
    <col min="1782" max="1782" width="14.3984375" style="4" bestFit="1" customWidth="1"/>
    <col min="1783" max="1783" width="12.1328125" style="4" bestFit="1" customWidth="1"/>
    <col min="1784" max="1784" width="12.3984375" style="4" bestFit="1" customWidth="1"/>
    <col min="1785" max="1786" width="13.86328125" style="4" bestFit="1" customWidth="1"/>
    <col min="1787" max="1787" width="14.86328125" style="4" bestFit="1" customWidth="1"/>
    <col min="1788" max="1788" width="12.1328125" style="4" bestFit="1" customWidth="1"/>
    <col min="1789" max="1789" width="12.3984375" style="4" bestFit="1" customWidth="1"/>
    <col min="1790" max="1791" width="13.86328125" style="4" bestFit="1" customWidth="1"/>
    <col min="1792" max="1792" width="14.86328125" style="4" bestFit="1" customWidth="1"/>
    <col min="1793" max="2031" width="9.1328125" style="4"/>
    <col min="2032" max="2032" width="15.3984375" style="4" bestFit="1" customWidth="1"/>
    <col min="2033" max="2033" width="11.1328125" style="4" bestFit="1" customWidth="1"/>
    <col min="2034" max="2034" width="14.59765625" style="4" bestFit="1" customWidth="1"/>
    <col min="2035" max="2035" width="17.3984375" style="4" bestFit="1" customWidth="1"/>
    <col min="2036" max="2036" width="17.59765625" style="4" bestFit="1" customWidth="1"/>
    <col min="2037" max="2037" width="14.73046875" style="4" bestFit="1" customWidth="1"/>
    <col min="2038" max="2038" width="14.3984375" style="4" bestFit="1" customWidth="1"/>
    <col min="2039" max="2039" width="12.1328125" style="4" bestFit="1" customWidth="1"/>
    <col min="2040" max="2040" width="12.3984375" style="4" bestFit="1" customWidth="1"/>
    <col min="2041" max="2042" width="13.86328125" style="4" bestFit="1" customWidth="1"/>
    <col min="2043" max="2043" width="14.86328125" style="4" bestFit="1" customWidth="1"/>
    <col min="2044" max="2044" width="12.1328125" style="4" bestFit="1" customWidth="1"/>
    <col min="2045" max="2045" width="12.3984375" style="4" bestFit="1" customWidth="1"/>
    <col min="2046" max="2047" width="13.86328125" style="4" bestFit="1" customWidth="1"/>
    <col min="2048" max="2048" width="14.86328125" style="4" bestFit="1" customWidth="1"/>
    <col min="2049" max="2287" width="9.1328125" style="4"/>
    <col min="2288" max="2288" width="15.3984375" style="4" bestFit="1" customWidth="1"/>
    <col min="2289" max="2289" width="11.1328125" style="4" bestFit="1" customWidth="1"/>
    <col min="2290" max="2290" width="14.59765625" style="4" bestFit="1" customWidth="1"/>
    <col min="2291" max="2291" width="17.3984375" style="4" bestFit="1" customWidth="1"/>
    <col min="2292" max="2292" width="17.59765625" style="4" bestFit="1" customWidth="1"/>
    <col min="2293" max="2293" width="14.73046875" style="4" bestFit="1" customWidth="1"/>
    <col min="2294" max="2294" width="14.3984375" style="4" bestFit="1" customWidth="1"/>
    <col min="2295" max="2295" width="12.1328125" style="4" bestFit="1" customWidth="1"/>
    <col min="2296" max="2296" width="12.3984375" style="4" bestFit="1" customWidth="1"/>
    <col min="2297" max="2298" width="13.86328125" style="4" bestFit="1" customWidth="1"/>
    <col min="2299" max="2299" width="14.86328125" style="4" bestFit="1" customWidth="1"/>
    <col min="2300" max="2300" width="12.1328125" style="4" bestFit="1" customWidth="1"/>
    <col min="2301" max="2301" width="12.3984375" style="4" bestFit="1" customWidth="1"/>
    <col min="2302" max="2303" width="13.86328125" style="4" bestFit="1" customWidth="1"/>
    <col min="2304" max="2304" width="14.86328125" style="4" bestFit="1" customWidth="1"/>
    <col min="2305" max="2543" width="9.1328125" style="4"/>
    <col min="2544" max="2544" width="15.3984375" style="4" bestFit="1" customWidth="1"/>
    <col min="2545" max="2545" width="11.1328125" style="4" bestFit="1" customWidth="1"/>
    <col min="2546" max="2546" width="14.59765625" style="4" bestFit="1" customWidth="1"/>
    <col min="2547" max="2547" width="17.3984375" style="4" bestFit="1" customWidth="1"/>
    <col min="2548" max="2548" width="17.59765625" style="4" bestFit="1" customWidth="1"/>
    <col min="2549" max="2549" width="14.73046875" style="4" bestFit="1" customWidth="1"/>
    <col min="2550" max="2550" width="14.3984375" style="4" bestFit="1" customWidth="1"/>
    <col min="2551" max="2551" width="12.1328125" style="4" bestFit="1" customWidth="1"/>
    <col min="2552" max="2552" width="12.3984375" style="4" bestFit="1" customWidth="1"/>
    <col min="2553" max="2554" width="13.86328125" style="4" bestFit="1" customWidth="1"/>
    <col min="2555" max="2555" width="14.86328125" style="4" bestFit="1" customWidth="1"/>
    <col min="2556" max="2556" width="12.1328125" style="4" bestFit="1" customWidth="1"/>
    <col min="2557" max="2557" width="12.3984375" style="4" bestFit="1" customWidth="1"/>
    <col min="2558" max="2559" width="13.86328125" style="4" bestFit="1" customWidth="1"/>
    <col min="2560" max="2560" width="14.86328125" style="4" bestFit="1" customWidth="1"/>
    <col min="2561" max="2799" width="9.1328125" style="4"/>
    <col min="2800" max="2800" width="15.3984375" style="4" bestFit="1" customWidth="1"/>
    <col min="2801" max="2801" width="11.1328125" style="4" bestFit="1" customWidth="1"/>
    <col min="2802" max="2802" width="14.59765625" style="4" bestFit="1" customWidth="1"/>
    <col min="2803" max="2803" width="17.3984375" style="4" bestFit="1" customWidth="1"/>
    <col min="2804" max="2804" width="17.59765625" style="4" bestFit="1" customWidth="1"/>
    <col min="2805" max="2805" width="14.73046875" style="4" bestFit="1" customWidth="1"/>
    <col min="2806" max="2806" width="14.3984375" style="4" bestFit="1" customWidth="1"/>
    <col min="2807" max="2807" width="12.1328125" style="4" bestFit="1" customWidth="1"/>
    <col min="2808" max="2808" width="12.3984375" style="4" bestFit="1" customWidth="1"/>
    <col min="2809" max="2810" width="13.86328125" style="4" bestFit="1" customWidth="1"/>
    <col min="2811" max="2811" width="14.86328125" style="4" bestFit="1" customWidth="1"/>
    <col min="2812" max="2812" width="12.1328125" style="4" bestFit="1" customWidth="1"/>
    <col min="2813" max="2813" width="12.3984375" style="4" bestFit="1" customWidth="1"/>
    <col min="2814" max="2815" width="13.86328125" style="4" bestFit="1" customWidth="1"/>
    <col min="2816" max="2816" width="14.86328125" style="4" bestFit="1" customWidth="1"/>
    <col min="2817" max="3055" width="9.1328125" style="4"/>
    <col min="3056" max="3056" width="15.3984375" style="4" bestFit="1" customWidth="1"/>
    <col min="3057" max="3057" width="11.1328125" style="4" bestFit="1" customWidth="1"/>
    <col min="3058" max="3058" width="14.59765625" style="4" bestFit="1" customWidth="1"/>
    <col min="3059" max="3059" width="17.3984375" style="4" bestFit="1" customWidth="1"/>
    <col min="3060" max="3060" width="17.59765625" style="4" bestFit="1" customWidth="1"/>
    <col min="3061" max="3061" width="14.73046875" style="4" bestFit="1" customWidth="1"/>
    <col min="3062" max="3062" width="14.3984375" style="4" bestFit="1" customWidth="1"/>
    <col min="3063" max="3063" width="12.1328125" style="4" bestFit="1" customWidth="1"/>
    <col min="3064" max="3064" width="12.3984375" style="4" bestFit="1" customWidth="1"/>
    <col min="3065" max="3066" width="13.86328125" style="4" bestFit="1" customWidth="1"/>
    <col min="3067" max="3067" width="14.86328125" style="4" bestFit="1" customWidth="1"/>
    <col min="3068" max="3068" width="12.1328125" style="4" bestFit="1" customWidth="1"/>
    <col min="3069" max="3069" width="12.3984375" style="4" bestFit="1" customWidth="1"/>
    <col min="3070" max="3071" width="13.86328125" style="4" bestFit="1" customWidth="1"/>
    <col min="3072" max="3072" width="14.86328125" style="4" bestFit="1" customWidth="1"/>
    <col min="3073" max="3311" width="9.1328125" style="4"/>
    <col min="3312" max="3312" width="15.3984375" style="4" bestFit="1" customWidth="1"/>
    <col min="3313" max="3313" width="11.1328125" style="4" bestFit="1" customWidth="1"/>
    <col min="3314" max="3314" width="14.59765625" style="4" bestFit="1" customWidth="1"/>
    <col min="3315" max="3315" width="17.3984375" style="4" bestFit="1" customWidth="1"/>
    <col min="3316" max="3316" width="17.59765625" style="4" bestFit="1" customWidth="1"/>
    <col min="3317" max="3317" width="14.73046875" style="4" bestFit="1" customWidth="1"/>
    <col min="3318" max="3318" width="14.3984375" style="4" bestFit="1" customWidth="1"/>
    <col min="3319" max="3319" width="12.1328125" style="4" bestFit="1" customWidth="1"/>
    <col min="3320" max="3320" width="12.3984375" style="4" bestFit="1" customWidth="1"/>
    <col min="3321" max="3322" width="13.86328125" style="4" bestFit="1" customWidth="1"/>
    <col min="3323" max="3323" width="14.86328125" style="4" bestFit="1" customWidth="1"/>
    <col min="3324" max="3324" width="12.1328125" style="4" bestFit="1" customWidth="1"/>
    <col min="3325" max="3325" width="12.3984375" style="4" bestFit="1" customWidth="1"/>
    <col min="3326" max="3327" width="13.86328125" style="4" bestFit="1" customWidth="1"/>
    <col min="3328" max="3328" width="14.86328125" style="4" bestFit="1" customWidth="1"/>
    <col min="3329" max="3567" width="9.1328125" style="4"/>
    <col min="3568" max="3568" width="15.3984375" style="4" bestFit="1" customWidth="1"/>
    <col min="3569" max="3569" width="11.1328125" style="4" bestFit="1" customWidth="1"/>
    <col min="3570" max="3570" width="14.59765625" style="4" bestFit="1" customWidth="1"/>
    <col min="3571" max="3571" width="17.3984375" style="4" bestFit="1" customWidth="1"/>
    <col min="3572" max="3572" width="17.59765625" style="4" bestFit="1" customWidth="1"/>
    <col min="3573" max="3573" width="14.73046875" style="4" bestFit="1" customWidth="1"/>
    <col min="3574" max="3574" width="14.3984375" style="4" bestFit="1" customWidth="1"/>
    <col min="3575" max="3575" width="12.1328125" style="4" bestFit="1" customWidth="1"/>
    <col min="3576" max="3576" width="12.3984375" style="4" bestFit="1" customWidth="1"/>
    <col min="3577" max="3578" width="13.86328125" style="4" bestFit="1" customWidth="1"/>
    <col min="3579" max="3579" width="14.86328125" style="4" bestFit="1" customWidth="1"/>
    <col min="3580" max="3580" width="12.1328125" style="4" bestFit="1" customWidth="1"/>
    <col min="3581" max="3581" width="12.3984375" style="4" bestFit="1" customWidth="1"/>
    <col min="3582" max="3583" width="13.86328125" style="4" bestFit="1" customWidth="1"/>
    <col min="3584" max="3584" width="14.86328125" style="4" bestFit="1" customWidth="1"/>
    <col min="3585" max="3823" width="9.1328125" style="4"/>
    <col min="3824" max="3824" width="15.3984375" style="4" bestFit="1" customWidth="1"/>
    <col min="3825" max="3825" width="11.1328125" style="4" bestFit="1" customWidth="1"/>
    <col min="3826" max="3826" width="14.59765625" style="4" bestFit="1" customWidth="1"/>
    <col min="3827" max="3827" width="17.3984375" style="4" bestFit="1" customWidth="1"/>
    <col min="3828" max="3828" width="17.59765625" style="4" bestFit="1" customWidth="1"/>
    <col min="3829" max="3829" width="14.73046875" style="4" bestFit="1" customWidth="1"/>
    <col min="3830" max="3830" width="14.3984375" style="4" bestFit="1" customWidth="1"/>
    <col min="3831" max="3831" width="12.1328125" style="4" bestFit="1" customWidth="1"/>
    <col min="3832" max="3832" width="12.3984375" style="4" bestFit="1" customWidth="1"/>
    <col min="3833" max="3834" width="13.86328125" style="4" bestFit="1" customWidth="1"/>
    <col min="3835" max="3835" width="14.86328125" style="4" bestFit="1" customWidth="1"/>
    <col min="3836" max="3836" width="12.1328125" style="4" bestFit="1" customWidth="1"/>
    <col min="3837" max="3837" width="12.3984375" style="4" bestFit="1" customWidth="1"/>
    <col min="3838" max="3839" width="13.86328125" style="4" bestFit="1" customWidth="1"/>
    <col min="3840" max="3840" width="14.86328125" style="4" bestFit="1" customWidth="1"/>
    <col min="3841" max="4079" width="9.1328125" style="4"/>
    <col min="4080" max="4080" width="15.3984375" style="4" bestFit="1" customWidth="1"/>
    <col min="4081" max="4081" width="11.1328125" style="4" bestFit="1" customWidth="1"/>
    <col min="4082" max="4082" width="14.59765625" style="4" bestFit="1" customWidth="1"/>
    <col min="4083" max="4083" width="17.3984375" style="4" bestFit="1" customWidth="1"/>
    <col min="4084" max="4084" width="17.59765625" style="4" bestFit="1" customWidth="1"/>
    <col min="4085" max="4085" width="14.73046875" style="4" bestFit="1" customWidth="1"/>
    <col min="4086" max="4086" width="14.3984375" style="4" bestFit="1" customWidth="1"/>
    <col min="4087" max="4087" width="12.1328125" style="4" bestFit="1" customWidth="1"/>
    <col min="4088" max="4088" width="12.3984375" style="4" bestFit="1" customWidth="1"/>
    <col min="4089" max="4090" width="13.86328125" style="4" bestFit="1" customWidth="1"/>
    <col min="4091" max="4091" width="14.86328125" style="4" bestFit="1" customWidth="1"/>
    <col min="4092" max="4092" width="12.1328125" style="4" bestFit="1" customWidth="1"/>
    <col min="4093" max="4093" width="12.3984375" style="4" bestFit="1" customWidth="1"/>
    <col min="4094" max="4095" width="13.86328125" style="4" bestFit="1" customWidth="1"/>
    <col min="4096" max="4096" width="14.86328125" style="4" bestFit="1" customWidth="1"/>
    <col min="4097" max="4335" width="9.1328125" style="4"/>
    <col min="4336" max="4336" width="15.3984375" style="4" bestFit="1" customWidth="1"/>
    <col min="4337" max="4337" width="11.1328125" style="4" bestFit="1" customWidth="1"/>
    <col min="4338" max="4338" width="14.59765625" style="4" bestFit="1" customWidth="1"/>
    <col min="4339" max="4339" width="17.3984375" style="4" bestFit="1" customWidth="1"/>
    <col min="4340" max="4340" width="17.59765625" style="4" bestFit="1" customWidth="1"/>
    <col min="4341" max="4341" width="14.73046875" style="4" bestFit="1" customWidth="1"/>
    <col min="4342" max="4342" width="14.3984375" style="4" bestFit="1" customWidth="1"/>
    <col min="4343" max="4343" width="12.1328125" style="4" bestFit="1" customWidth="1"/>
    <col min="4344" max="4344" width="12.3984375" style="4" bestFit="1" customWidth="1"/>
    <col min="4345" max="4346" width="13.86328125" style="4" bestFit="1" customWidth="1"/>
    <col min="4347" max="4347" width="14.86328125" style="4" bestFit="1" customWidth="1"/>
    <col min="4348" max="4348" width="12.1328125" style="4" bestFit="1" customWidth="1"/>
    <col min="4349" max="4349" width="12.3984375" style="4" bestFit="1" customWidth="1"/>
    <col min="4350" max="4351" width="13.86328125" style="4" bestFit="1" customWidth="1"/>
    <col min="4352" max="4352" width="14.86328125" style="4" bestFit="1" customWidth="1"/>
    <col min="4353" max="4591" width="9.1328125" style="4"/>
    <col min="4592" max="4592" width="15.3984375" style="4" bestFit="1" customWidth="1"/>
    <col min="4593" max="4593" width="11.1328125" style="4" bestFit="1" customWidth="1"/>
    <col min="4594" max="4594" width="14.59765625" style="4" bestFit="1" customWidth="1"/>
    <col min="4595" max="4595" width="17.3984375" style="4" bestFit="1" customWidth="1"/>
    <col min="4596" max="4596" width="17.59765625" style="4" bestFit="1" customWidth="1"/>
    <col min="4597" max="4597" width="14.73046875" style="4" bestFit="1" customWidth="1"/>
    <col min="4598" max="4598" width="14.3984375" style="4" bestFit="1" customWidth="1"/>
    <col min="4599" max="4599" width="12.1328125" style="4" bestFit="1" customWidth="1"/>
    <col min="4600" max="4600" width="12.3984375" style="4" bestFit="1" customWidth="1"/>
    <col min="4601" max="4602" width="13.86328125" style="4" bestFit="1" customWidth="1"/>
    <col min="4603" max="4603" width="14.86328125" style="4" bestFit="1" customWidth="1"/>
    <col min="4604" max="4604" width="12.1328125" style="4" bestFit="1" customWidth="1"/>
    <col min="4605" max="4605" width="12.3984375" style="4" bestFit="1" customWidth="1"/>
    <col min="4606" max="4607" width="13.86328125" style="4" bestFit="1" customWidth="1"/>
    <col min="4608" max="4608" width="14.86328125" style="4" bestFit="1" customWidth="1"/>
    <col min="4609" max="4847" width="9.1328125" style="4"/>
    <col min="4848" max="4848" width="15.3984375" style="4" bestFit="1" customWidth="1"/>
    <col min="4849" max="4849" width="11.1328125" style="4" bestFit="1" customWidth="1"/>
    <col min="4850" max="4850" width="14.59765625" style="4" bestFit="1" customWidth="1"/>
    <col min="4851" max="4851" width="17.3984375" style="4" bestFit="1" customWidth="1"/>
    <col min="4852" max="4852" width="17.59765625" style="4" bestFit="1" customWidth="1"/>
    <col min="4853" max="4853" width="14.73046875" style="4" bestFit="1" customWidth="1"/>
    <col min="4854" max="4854" width="14.3984375" style="4" bestFit="1" customWidth="1"/>
    <col min="4855" max="4855" width="12.1328125" style="4" bestFit="1" customWidth="1"/>
    <col min="4856" max="4856" width="12.3984375" style="4" bestFit="1" customWidth="1"/>
    <col min="4857" max="4858" width="13.86328125" style="4" bestFit="1" customWidth="1"/>
    <col min="4859" max="4859" width="14.86328125" style="4" bestFit="1" customWidth="1"/>
    <col min="4860" max="4860" width="12.1328125" style="4" bestFit="1" customWidth="1"/>
    <col min="4861" max="4861" width="12.3984375" style="4" bestFit="1" customWidth="1"/>
    <col min="4862" max="4863" width="13.86328125" style="4" bestFit="1" customWidth="1"/>
    <col min="4864" max="4864" width="14.86328125" style="4" bestFit="1" customWidth="1"/>
    <col min="4865" max="5103" width="9.1328125" style="4"/>
    <col min="5104" max="5104" width="15.3984375" style="4" bestFit="1" customWidth="1"/>
    <col min="5105" max="5105" width="11.1328125" style="4" bestFit="1" customWidth="1"/>
    <col min="5106" max="5106" width="14.59765625" style="4" bestFit="1" customWidth="1"/>
    <col min="5107" max="5107" width="17.3984375" style="4" bestFit="1" customWidth="1"/>
    <col min="5108" max="5108" width="17.59765625" style="4" bestFit="1" customWidth="1"/>
    <col min="5109" max="5109" width="14.73046875" style="4" bestFit="1" customWidth="1"/>
    <col min="5110" max="5110" width="14.3984375" style="4" bestFit="1" customWidth="1"/>
    <col min="5111" max="5111" width="12.1328125" style="4" bestFit="1" customWidth="1"/>
    <col min="5112" max="5112" width="12.3984375" style="4" bestFit="1" customWidth="1"/>
    <col min="5113" max="5114" width="13.86328125" style="4" bestFit="1" customWidth="1"/>
    <col min="5115" max="5115" width="14.86328125" style="4" bestFit="1" customWidth="1"/>
    <col min="5116" max="5116" width="12.1328125" style="4" bestFit="1" customWidth="1"/>
    <col min="5117" max="5117" width="12.3984375" style="4" bestFit="1" customWidth="1"/>
    <col min="5118" max="5119" width="13.86328125" style="4" bestFit="1" customWidth="1"/>
    <col min="5120" max="5120" width="14.86328125" style="4" bestFit="1" customWidth="1"/>
    <col min="5121" max="5359" width="9.1328125" style="4"/>
    <col min="5360" max="5360" width="15.3984375" style="4" bestFit="1" customWidth="1"/>
    <col min="5361" max="5361" width="11.1328125" style="4" bestFit="1" customWidth="1"/>
    <col min="5362" max="5362" width="14.59765625" style="4" bestFit="1" customWidth="1"/>
    <col min="5363" max="5363" width="17.3984375" style="4" bestFit="1" customWidth="1"/>
    <col min="5364" max="5364" width="17.59765625" style="4" bestFit="1" customWidth="1"/>
    <col min="5365" max="5365" width="14.73046875" style="4" bestFit="1" customWidth="1"/>
    <col min="5366" max="5366" width="14.3984375" style="4" bestFit="1" customWidth="1"/>
    <col min="5367" max="5367" width="12.1328125" style="4" bestFit="1" customWidth="1"/>
    <col min="5368" max="5368" width="12.3984375" style="4" bestFit="1" customWidth="1"/>
    <col min="5369" max="5370" width="13.86328125" style="4" bestFit="1" customWidth="1"/>
    <col min="5371" max="5371" width="14.86328125" style="4" bestFit="1" customWidth="1"/>
    <col min="5372" max="5372" width="12.1328125" style="4" bestFit="1" customWidth="1"/>
    <col min="5373" max="5373" width="12.3984375" style="4" bestFit="1" customWidth="1"/>
    <col min="5374" max="5375" width="13.86328125" style="4" bestFit="1" customWidth="1"/>
    <col min="5376" max="5376" width="14.86328125" style="4" bestFit="1" customWidth="1"/>
    <col min="5377" max="5615" width="9.1328125" style="4"/>
    <col min="5616" max="5616" width="15.3984375" style="4" bestFit="1" customWidth="1"/>
    <col min="5617" max="5617" width="11.1328125" style="4" bestFit="1" customWidth="1"/>
    <col min="5618" max="5618" width="14.59765625" style="4" bestFit="1" customWidth="1"/>
    <col min="5619" max="5619" width="17.3984375" style="4" bestFit="1" customWidth="1"/>
    <col min="5620" max="5620" width="17.59765625" style="4" bestFit="1" customWidth="1"/>
    <col min="5621" max="5621" width="14.73046875" style="4" bestFit="1" customWidth="1"/>
    <col min="5622" max="5622" width="14.3984375" style="4" bestFit="1" customWidth="1"/>
    <col min="5623" max="5623" width="12.1328125" style="4" bestFit="1" customWidth="1"/>
    <col min="5624" max="5624" width="12.3984375" style="4" bestFit="1" customWidth="1"/>
    <col min="5625" max="5626" width="13.86328125" style="4" bestFit="1" customWidth="1"/>
    <col min="5627" max="5627" width="14.86328125" style="4" bestFit="1" customWidth="1"/>
    <col min="5628" max="5628" width="12.1328125" style="4" bestFit="1" customWidth="1"/>
    <col min="5629" max="5629" width="12.3984375" style="4" bestFit="1" customWidth="1"/>
    <col min="5630" max="5631" width="13.86328125" style="4" bestFit="1" customWidth="1"/>
    <col min="5632" max="5632" width="14.86328125" style="4" bestFit="1" customWidth="1"/>
    <col min="5633" max="5871" width="9.1328125" style="4"/>
    <col min="5872" max="5872" width="15.3984375" style="4" bestFit="1" customWidth="1"/>
    <col min="5873" max="5873" width="11.1328125" style="4" bestFit="1" customWidth="1"/>
    <col min="5874" max="5874" width="14.59765625" style="4" bestFit="1" customWidth="1"/>
    <col min="5875" max="5875" width="17.3984375" style="4" bestFit="1" customWidth="1"/>
    <col min="5876" max="5876" width="17.59765625" style="4" bestFit="1" customWidth="1"/>
    <col min="5877" max="5877" width="14.73046875" style="4" bestFit="1" customWidth="1"/>
    <col min="5878" max="5878" width="14.3984375" style="4" bestFit="1" customWidth="1"/>
    <col min="5879" max="5879" width="12.1328125" style="4" bestFit="1" customWidth="1"/>
    <col min="5880" max="5880" width="12.3984375" style="4" bestFit="1" customWidth="1"/>
    <col min="5881" max="5882" width="13.86328125" style="4" bestFit="1" customWidth="1"/>
    <col min="5883" max="5883" width="14.86328125" style="4" bestFit="1" customWidth="1"/>
    <col min="5884" max="5884" width="12.1328125" style="4" bestFit="1" customWidth="1"/>
    <col min="5885" max="5885" width="12.3984375" style="4" bestFit="1" customWidth="1"/>
    <col min="5886" max="5887" width="13.86328125" style="4" bestFit="1" customWidth="1"/>
    <col min="5888" max="5888" width="14.86328125" style="4" bestFit="1" customWidth="1"/>
    <col min="5889" max="6127" width="9.1328125" style="4"/>
    <col min="6128" max="6128" width="15.3984375" style="4" bestFit="1" customWidth="1"/>
    <col min="6129" max="6129" width="11.1328125" style="4" bestFit="1" customWidth="1"/>
    <col min="6130" max="6130" width="14.59765625" style="4" bestFit="1" customWidth="1"/>
    <col min="6131" max="6131" width="17.3984375" style="4" bestFit="1" customWidth="1"/>
    <col min="6132" max="6132" width="17.59765625" style="4" bestFit="1" customWidth="1"/>
    <col min="6133" max="6133" width="14.73046875" style="4" bestFit="1" customWidth="1"/>
    <col min="6134" max="6134" width="14.3984375" style="4" bestFit="1" customWidth="1"/>
    <col min="6135" max="6135" width="12.1328125" style="4" bestFit="1" customWidth="1"/>
    <col min="6136" max="6136" width="12.3984375" style="4" bestFit="1" customWidth="1"/>
    <col min="6137" max="6138" width="13.86328125" style="4" bestFit="1" customWidth="1"/>
    <col min="6139" max="6139" width="14.86328125" style="4" bestFit="1" customWidth="1"/>
    <col min="6140" max="6140" width="12.1328125" style="4" bestFit="1" customWidth="1"/>
    <col min="6141" max="6141" width="12.3984375" style="4" bestFit="1" customWidth="1"/>
    <col min="6142" max="6143" width="13.86328125" style="4" bestFit="1" customWidth="1"/>
    <col min="6144" max="6144" width="14.86328125" style="4" bestFit="1" customWidth="1"/>
    <col min="6145" max="6383" width="9.1328125" style="4"/>
    <col min="6384" max="6384" width="15.3984375" style="4" bestFit="1" customWidth="1"/>
    <col min="6385" max="6385" width="11.1328125" style="4" bestFit="1" customWidth="1"/>
    <col min="6386" max="6386" width="14.59765625" style="4" bestFit="1" customWidth="1"/>
    <col min="6387" max="6387" width="17.3984375" style="4" bestFit="1" customWidth="1"/>
    <col min="6388" max="6388" width="17.59765625" style="4" bestFit="1" customWidth="1"/>
    <col min="6389" max="6389" width="14.73046875" style="4" bestFit="1" customWidth="1"/>
    <col min="6390" max="6390" width="14.3984375" style="4" bestFit="1" customWidth="1"/>
    <col min="6391" max="6391" width="12.1328125" style="4" bestFit="1" customWidth="1"/>
    <col min="6392" max="6392" width="12.3984375" style="4" bestFit="1" customWidth="1"/>
    <col min="6393" max="6394" width="13.86328125" style="4" bestFit="1" customWidth="1"/>
    <col min="6395" max="6395" width="14.86328125" style="4" bestFit="1" customWidth="1"/>
    <col min="6396" max="6396" width="12.1328125" style="4" bestFit="1" customWidth="1"/>
    <col min="6397" max="6397" width="12.3984375" style="4" bestFit="1" customWidth="1"/>
    <col min="6398" max="6399" width="13.86328125" style="4" bestFit="1" customWidth="1"/>
    <col min="6400" max="6400" width="14.86328125" style="4" bestFit="1" customWidth="1"/>
    <col min="6401" max="6639" width="9.1328125" style="4"/>
    <col min="6640" max="6640" width="15.3984375" style="4" bestFit="1" customWidth="1"/>
    <col min="6641" max="6641" width="11.1328125" style="4" bestFit="1" customWidth="1"/>
    <col min="6642" max="6642" width="14.59765625" style="4" bestFit="1" customWidth="1"/>
    <col min="6643" max="6643" width="17.3984375" style="4" bestFit="1" customWidth="1"/>
    <col min="6644" max="6644" width="17.59765625" style="4" bestFit="1" customWidth="1"/>
    <col min="6645" max="6645" width="14.73046875" style="4" bestFit="1" customWidth="1"/>
    <col min="6646" max="6646" width="14.3984375" style="4" bestFit="1" customWidth="1"/>
    <col min="6647" max="6647" width="12.1328125" style="4" bestFit="1" customWidth="1"/>
    <col min="6648" max="6648" width="12.3984375" style="4" bestFit="1" customWidth="1"/>
    <col min="6649" max="6650" width="13.86328125" style="4" bestFit="1" customWidth="1"/>
    <col min="6651" max="6651" width="14.86328125" style="4" bestFit="1" customWidth="1"/>
    <col min="6652" max="6652" width="12.1328125" style="4" bestFit="1" customWidth="1"/>
    <col min="6653" max="6653" width="12.3984375" style="4" bestFit="1" customWidth="1"/>
    <col min="6654" max="6655" width="13.86328125" style="4" bestFit="1" customWidth="1"/>
    <col min="6656" max="6656" width="14.86328125" style="4" bestFit="1" customWidth="1"/>
    <col min="6657" max="6895" width="9.1328125" style="4"/>
    <col min="6896" max="6896" width="15.3984375" style="4" bestFit="1" customWidth="1"/>
    <col min="6897" max="6897" width="11.1328125" style="4" bestFit="1" customWidth="1"/>
    <col min="6898" max="6898" width="14.59765625" style="4" bestFit="1" customWidth="1"/>
    <col min="6899" max="6899" width="17.3984375" style="4" bestFit="1" customWidth="1"/>
    <col min="6900" max="6900" width="17.59765625" style="4" bestFit="1" customWidth="1"/>
    <col min="6901" max="6901" width="14.73046875" style="4" bestFit="1" customWidth="1"/>
    <col min="6902" max="6902" width="14.3984375" style="4" bestFit="1" customWidth="1"/>
    <col min="6903" max="6903" width="12.1328125" style="4" bestFit="1" customWidth="1"/>
    <col min="6904" max="6904" width="12.3984375" style="4" bestFit="1" customWidth="1"/>
    <col min="6905" max="6906" width="13.86328125" style="4" bestFit="1" customWidth="1"/>
    <col min="6907" max="6907" width="14.86328125" style="4" bestFit="1" customWidth="1"/>
    <col min="6908" max="6908" width="12.1328125" style="4" bestFit="1" customWidth="1"/>
    <col min="6909" max="6909" width="12.3984375" style="4" bestFit="1" customWidth="1"/>
    <col min="6910" max="6911" width="13.86328125" style="4" bestFit="1" customWidth="1"/>
    <col min="6912" max="6912" width="14.86328125" style="4" bestFit="1" customWidth="1"/>
    <col min="6913" max="7151" width="9.1328125" style="4"/>
    <col min="7152" max="7152" width="15.3984375" style="4" bestFit="1" customWidth="1"/>
    <col min="7153" max="7153" width="11.1328125" style="4" bestFit="1" customWidth="1"/>
    <col min="7154" max="7154" width="14.59765625" style="4" bestFit="1" customWidth="1"/>
    <col min="7155" max="7155" width="17.3984375" style="4" bestFit="1" customWidth="1"/>
    <col min="7156" max="7156" width="17.59765625" style="4" bestFit="1" customWidth="1"/>
    <col min="7157" max="7157" width="14.73046875" style="4" bestFit="1" customWidth="1"/>
    <col min="7158" max="7158" width="14.3984375" style="4" bestFit="1" customWidth="1"/>
    <col min="7159" max="7159" width="12.1328125" style="4" bestFit="1" customWidth="1"/>
    <col min="7160" max="7160" width="12.3984375" style="4" bestFit="1" customWidth="1"/>
    <col min="7161" max="7162" width="13.86328125" style="4" bestFit="1" customWidth="1"/>
    <col min="7163" max="7163" width="14.86328125" style="4" bestFit="1" customWidth="1"/>
    <col min="7164" max="7164" width="12.1328125" style="4" bestFit="1" customWidth="1"/>
    <col min="7165" max="7165" width="12.3984375" style="4" bestFit="1" customWidth="1"/>
    <col min="7166" max="7167" width="13.86328125" style="4" bestFit="1" customWidth="1"/>
    <col min="7168" max="7168" width="14.86328125" style="4" bestFit="1" customWidth="1"/>
    <col min="7169" max="7407" width="9.1328125" style="4"/>
    <col min="7408" max="7408" width="15.3984375" style="4" bestFit="1" customWidth="1"/>
    <col min="7409" max="7409" width="11.1328125" style="4" bestFit="1" customWidth="1"/>
    <col min="7410" max="7410" width="14.59765625" style="4" bestFit="1" customWidth="1"/>
    <col min="7411" max="7411" width="17.3984375" style="4" bestFit="1" customWidth="1"/>
    <col min="7412" max="7412" width="17.59765625" style="4" bestFit="1" customWidth="1"/>
    <col min="7413" max="7413" width="14.73046875" style="4" bestFit="1" customWidth="1"/>
    <col min="7414" max="7414" width="14.3984375" style="4" bestFit="1" customWidth="1"/>
    <col min="7415" max="7415" width="12.1328125" style="4" bestFit="1" customWidth="1"/>
    <col min="7416" max="7416" width="12.3984375" style="4" bestFit="1" customWidth="1"/>
    <col min="7417" max="7418" width="13.86328125" style="4" bestFit="1" customWidth="1"/>
    <col min="7419" max="7419" width="14.86328125" style="4" bestFit="1" customWidth="1"/>
    <col min="7420" max="7420" width="12.1328125" style="4" bestFit="1" customWidth="1"/>
    <col min="7421" max="7421" width="12.3984375" style="4" bestFit="1" customWidth="1"/>
    <col min="7422" max="7423" width="13.86328125" style="4" bestFit="1" customWidth="1"/>
    <col min="7424" max="7424" width="14.86328125" style="4" bestFit="1" customWidth="1"/>
    <col min="7425" max="7663" width="9.1328125" style="4"/>
    <col min="7664" max="7664" width="15.3984375" style="4" bestFit="1" customWidth="1"/>
    <col min="7665" max="7665" width="11.1328125" style="4" bestFit="1" customWidth="1"/>
    <col min="7666" max="7666" width="14.59765625" style="4" bestFit="1" customWidth="1"/>
    <col min="7667" max="7667" width="17.3984375" style="4" bestFit="1" customWidth="1"/>
    <col min="7668" max="7668" width="17.59765625" style="4" bestFit="1" customWidth="1"/>
    <col min="7669" max="7669" width="14.73046875" style="4" bestFit="1" customWidth="1"/>
    <col min="7670" max="7670" width="14.3984375" style="4" bestFit="1" customWidth="1"/>
    <col min="7671" max="7671" width="12.1328125" style="4" bestFit="1" customWidth="1"/>
    <col min="7672" max="7672" width="12.3984375" style="4" bestFit="1" customWidth="1"/>
    <col min="7673" max="7674" width="13.86328125" style="4" bestFit="1" customWidth="1"/>
    <col min="7675" max="7675" width="14.86328125" style="4" bestFit="1" customWidth="1"/>
    <col min="7676" max="7676" width="12.1328125" style="4" bestFit="1" customWidth="1"/>
    <col min="7677" max="7677" width="12.3984375" style="4" bestFit="1" customWidth="1"/>
    <col min="7678" max="7679" width="13.86328125" style="4" bestFit="1" customWidth="1"/>
    <col min="7680" max="7680" width="14.86328125" style="4" bestFit="1" customWidth="1"/>
    <col min="7681" max="7919" width="9.1328125" style="4"/>
    <col min="7920" max="7920" width="15.3984375" style="4" bestFit="1" customWidth="1"/>
    <col min="7921" max="7921" width="11.1328125" style="4" bestFit="1" customWidth="1"/>
    <col min="7922" max="7922" width="14.59765625" style="4" bestFit="1" customWidth="1"/>
    <col min="7923" max="7923" width="17.3984375" style="4" bestFit="1" customWidth="1"/>
    <col min="7924" max="7924" width="17.59765625" style="4" bestFit="1" customWidth="1"/>
    <col min="7925" max="7925" width="14.73046875" style="4" bestFit="1" customWidth="1"/>
    <col min="7926" max="7926" width="14.3984375" style="4" bestFit="1" customWidth="1"/>
    <col min="7927" max="7927" width="12.1328125" style="4" bestFit="1" customWidth="1"/>
    <col min="7928" max="7928" width="12.3984375" style="4" bestFit="1" customWidth="1"/>
    <col min="7929" max="7930" width="13.86328125" style="4" bestFit="1" customWidth="1"/>
    <col min="7931" max="7931" width="14.86328125" style="4" bestFit="1" customWidth="1"/>
    <col min="7932" max="7932" width="12.1328125" style="4" bestFit="1" customWidth="1"/>
    <col min="7933" max="7933" width="12.3984375" style="4" bestFit="1" customWidth="1"/>
    <col min="7934" max="7935" width="13.86328125" style="4" bestFit="1" customWidth="1"/>
    <col min="7936" max="7936" width="14.86328125" style="4" bestFit="1" customWidth="1"/>
    <col min="7937" max="8175" width="9.1328125" style="4"/>
    <col min="8176" max="8176" width="15.3984375" style="4" bestFit="1" customWidth="1"/>
    <col min="8177" max="8177" width="11.1328125" style="4" bestFit="1" customWidth="1"/>
    <col min="8178" max="8178" width="14.59765625" style="4" bestFit="1" customWidth="1"/>
    <col min="8179" max="8179" width="17.3984375" style="4" bestFit="1" customWidth="1"/>
    <col min="8180" max="8180" width="17.59765625" style="4" bestFit="1" customWidth="1"/>
    <col min="8181" max="8181" width="14.73046875" style="4" bestFit="1" customWidth="1"/>
    <col min="8182" max="8182" width="14.3984375" style="4" bestFit="1" customWidth="1"/>
    <col min="8183" max="8183" width="12.1328125" style="4" bestFit="1" customWidth="1"/>
    <col min="8184" max="8184" width="12.3984375" style="4" bestFit="1" customWidth="1"/>
    <col min="8185" max="8186" width="13.86328125" style="4" bestFit="1" customWidth="1"/>
    <col min="8187" max="8187" width="14.86328125" style="4" bestFit="1" customWidth="1"/>
    <col min="8188" max="8188" width="12.1328125" style="4" bestFit="1" customWidth="1"/>
    <col min="8189" max="8189" width="12.3984375" style="4" bestFit="1" customWidth="1"/>
    <col min="8190" max="8191" width="13.86328125" style="4" bestFit="1" customWidth="1"/>
    <col min="8192" max="8192" width="14.86328125" style="4" bestFit="1" customWidth="1"/>
    <col min="8193" max="8431" width="9.1328125" style="4"/>
    <col min="8432" max="8432" width="15.3984375" style="4" bestFit="1" customWidth="1"/>
    <col min="8433" max="8433" width="11.1328125" style="4" bestFit="1" customWidth="1"/>
    <col min="8434" max="8434" width="14.59765625" style="4" bestFit="1" customWidth="1"/>
    <col min="8435" max="8435" width="17.3984375" style="4" bestFit="1" customWidth="1"/>
    <col min="8436" max="8436" width="17.59765625" style="4" bestFit="1" customWidth="1"/>
    <col min="8437" max="8437" width="14.73046875" style="4" bestFit="1" customWidth="1"/>
    <col min="8438" max="8438" width="14.3984375" style="4" bestFit="1" customWidth="1"/>
    <col min="8439" max="8439" width="12.1328125" style="4" bestFit="1" customWidth="1"/>
    <col min="8440" max="8440" width="12.3984375" style="4" bestFit="1" customWidth="1"/>
    <col min="8441" max="8442" width="13.86328125" style="4" bestFit="1" customWidth="1"/>
    <col min="8443" max="8443" width="14.86328125" style="4" bestFit="1" customWidth="1"/>
    <col min="8444" max="8444" width="12.1328125" style="4" bestFit="1" customWidth="1"/>
    <col min="8445" max="8445" width="12.3984375" style="4" bestFit="1" customWidth="1"/>
    <col min="8446" max="8447" width="13.86328125" style="4" bestFit="1" customWidth="1"/>
    <col min="8448" max="8448" width="14.86328125" style="4" bestFit="1" customWidth="1"/>
    <col min="8449" max="8687" width="9.1328125" style="4"/>
    <col min="8688" max="8688" width="15.3984375" style="4" bestFit="1" customWidth="1"/>
    <col min="8689" max="8689" width="11.1328125" style="4" bestFit="1" customWidth="1"/>
    <col min="8690" max="8690" width="14.59765625" style="4" bestFit="1" customWidth="1"/>
    <col min="8691" max="8691" width="17.3984375" style="4" bestFit="1" customWidth="1"/>
    <col min="8692" max="8692" width="17.59765625" style="4" bestFit="1" customWidth="1"/>
    <col min="8693" max="8693" width="14.73046875" style="4" bestFit="1" customWidth="1"/>
    <col min="8694" max="8694" width="14.3984375" style="4" bestFit="1" customWidth="1"/>
    <col min="8695" max="8695" width="12.1328125" style="4" bestFit="1" customWidth="1"/>
    <col min="8696" max="8696" width="12.3984375" style="4" bestFit="1" customWidth="1"/>
    <col min="8697" max="8698" width="13.86328125" style="4" bestFit="1" customWidth="1"/>
    <col min="8699" max="8699" width="14.86328125" style="4" bestFit="1" customWidth="1"/>
    <col min="8700" max="8700" width="12.1328125" style="4" bestFit="1" customWidth="1"/>
    <col min="8701" max="8701" width="12.3984375" style="4" bestFit="1" customWidth="1"/>
    <col min="8702" max="8703" width="13.86328125" style="4" bestFit="1" customWidth="1"/>
    <col min="8704" max="8704" width="14.86328125" style="4" bestFit="1" customWidth="1"/>
    <col min="8705" max="8943" width="9.1328125" style="4"/>
    <col min="8944" max="8944" width="15.3984375" style="4" bestFit="1" customWidth="1"/>
    <col min="8945" max="8945" width="11.1328125" style="4" bestFit="1" customWidth="1"/>
    <col min="8946" max="8946" width="14.59765625" style="4" bestFit="1" customWidth="1"/>
    <col min="8947" max="8947" width="17.3984375" style="4" bestFit="1" customWidth="1"/>
    <col min="8948" max="8948" width="17.59765625" style="4" bestFit="1" customWidth="1"/>
    <col min="8949" max="8949" width="14.73046875" style="4" bestFit="1" customWidth="1"/>
    <col min="8950" max="8950" width="14.3984375" style="4" bestFit="1" customWidth="1"/>
    <col min="8951" max="8951" width="12.1328125" style="4" bestFit="1" customWidth="1"/>
    <col min="8952" max="8952" width="12.3984375" style="4" bestFit="1" customWidth="1"/>
    <col min="8953" max="8954" width="13.86328125" style="4" bestFit="1" customWidth="1"/>
    <col min="8955" max="8955" width="14.86328125" style="4" bestFit="1" customWidth="1"/>
    <col min="8956" max="8956" width="12.1328125" style="4" bestFit="1" customWidth="1"/>
    <col min="8957" max="8957" width="12.3984375" style="4" bestFit="1" customWidth="1"/>
    <col min="8958" max="8959" width="13.86328125" style="4" bestFit="1" customWidth="1"/>
    <col min="8960" max="8960" width="14.86328125" style="4" bestFit="1" customWidth="1"/>
    <col min="8961" max="9199" width="9.1328125" style="4"/>
    <col min="9200" max="9200" width="15.3984375" style="4" bestFit="1" customWidth="1"/>
    <col min="9201" max="9201" width="11.1328125" style="4" bestFit="1" customWidth="1"/>
    <col min="9202" max="9202" width="14.59765625" style="4" bestFit="1" customWidth="1"/>
    <col min="9203" max="9203" width="17.3984375" style="4" bestFit="1" customWidth="1"/>
    <col min="9204" max="9204" width="17.59765625" style="4" bestFit="1" customWidth="1"/>
    <col min="9205" max="9205" width="14.73046875" style="4" bestFit="1" customWidth="1"/>
    <col min="9206" max="9206" width="14.3984375" style="4" bestFit="1" customWidth="1"/>
    <col min="9207" max="9207" width="12.1328125" style="4" bestFit="1" customWidth="1"/>
    <col min="9208" max="9208" width="12.3984375" style="4" bestFit="1" customWidth="1"/>
    <col min="9209" max="9210" width="13.86328125" style="4" bestFit="1" customWidth="1"/>
    <col min="9211" max="9211" width="14.86328125" style="4" bestFit="1" customWidth="1"/>
    <col min="9212" max="9212" width="12.1328125" style="4" bestFit="1" customWidth="1"/>
    <col min="9213" max="9213" width="12.3984375" style="4" bestFit="1" customWidth="1"/>
    <col min="9214" max="9215" width="13.86328125" style="4" bestFit="1" customWidth="1"/>
    <col min="9216" max="9216" width="14.86328125" style="4" bestFit="1" customWidth="1"/>
    <col min="9217" max="9455" width="9.1328125" style="4"/>
    <col min="9456" max="9456" width="15.3984375" style="4" bestFit="1" customWidth="1"/>
    <col min="9457" max="9457" width="11.1328125" style="4" bestFit="1" customWidth="1"/>
    <col min="9458" max="9458" width="14.59765625" style="4" bestFit="1" customWidth="1"/>
    <col min="9459" max="9459" width="17.3984375" style="4" bestFit="1" customWidth="1"/>
    <col min="9460" max="9460" width="17.59765625" style="4" bestFit="1" customWidth="1"/>
    <col min="9461" max="9461" width="14.73046875" style="4" bestFit="1" customWidth="1"/>
    <col min="9462" max="9462" width="14.3984375" style="4" bestFit="1" customWidth="1"/>
    <col min="9463" max="9463" width="12.1328125" style="4" bestFit="1" customWidth="1"/>
    <col min="9464" max="9464" width="12.3984375" style="4" bestFit="1" customWidth="1"/>
    <col min="9465" max="9466" width="13.86328125" style="4" bestFit="1" customWidth="1"/>
    <col min="9467" max="9467" width="14.86328125" style="4" bestFit="1" customWidth="1"/>
    <col min="9468" max="9468" width="12.1328125" style="4" bestFit="1" customWidth="1"/>
    <col min="9469" max="9469" width="12.3984375" style="4" bestFit="1" customWidth="1"/>
    <col min="9470" max="9471" width="13.86328125" style="4" bestFit="1" customWidth="1"/>
    <col min="9472" max="9472" width="14.86328125" style="4" bestFit="1" customWidth="1"/>
    <col min="9473" max="9711" width="9.1328125" style="4"/>
    <col min="9712" max="9712" width="15.3984375" style="4" bestFit="1" customWidth="1"/>
    <col min="9713" max="9713" width="11.1328125" style="4" bestFit="1" customWidth="1"/>
    <col min="9714" max="9714" width="14.59765625" style="4" bestFit="1" customWidth="1"/>
    <col min="9715" max="9715" width="17.3984375" style="4" bestFit="1" customWidth="1"/>
    <col min="9716" max="9716" width="17.59765625" style="4" bestFit="1" customWidth="1"/>
    <col min="9717" max="9717" width="14.73046875" style="4" bestFit="1" customWidth="1"/>
    <col min="9718" max="9718" width="14.3984375" style="4" bestFit="1" customWidth="1"/>
    <col min="9719" max="9719" width="12.1328125" style="4" bestFit="1" customWidth="1"/>
    <col min="9720" max="9720" width="12.3984375" style="4" bestFit="1" customWidth="1"/>
    <col min="9721" max="9722" width="13.86328125" style="4" bestFit="1" customWidth="1"/>
    <col min="9723" max="9723" width="14.86328125" style="4" bestFit="1" customWidth="1"/>
    <col min="9724" max="9724" width="12.1328125" style="4" bestFit="1" customWidth="1"/>
    <col min="9725" max="9725" width="12.3984375" style="4" bestFit="1" customWidth="1"/>
    <col min="9726" max="9727" width="13.86328125" style="4" bestFit="1" customWidth="1"/>
    <col min="9728" max="9728" width="14.86328125" style="4" bestFit="1" customWidth="1"/>
    <col min="9729" max="9967" width="9.1328125" style="4"/>
    <col min="9968" max="9968" width="15.3984375" style="4" bestFit="1" customWidth="1"/>
    <col min="9969" max="9969" width="11.1328125" style="4" bestFit="1" customWidth="1"/>
    <col min="9970" max="9970" width="14.59765625" style="4" bestFit="1" customWidth="1"/>
    <col min="9971" max="9971" width="17.3984375" style="4" bestFit="1" customWidth="1"/>
    <col min="9972" max="9972" width="17.59765625" style="4" bestFit="1" customWidth="1"/>
    <col min="9973" max="9973" width="14.73046875" style="4" bestFit="1" customWidth="1"/>
    <col min="9974" max="9974" width="14.3984375" style="4" bestFit="1" customWidth="1"/>
    <col min="9975" max="9975" width="12.1328125" style="4" bestFit="1" customWidth="1"/>
    <col min="9976" max="9976" width="12.3984375" style="4" bestFit="1" customWidth="1"/>
    <col min="9977" max="9978" width="13.86328125" style="4" bestFit="1" customWidth="1"/>
    <col min="9979" max="9979" width="14.86328125" style="4" bestFit="1" customWidth="1"/>
    <col min="9980" max="9980" width="12.1328125" style="4" bestFit="1" customWidth="1"/>
    <col min="9981" max="9981" width="12.3984375" style="4" bestFit="1" customWidth="1"/>
    <col min="9982" max="9983" width="13.86328125" style="4" bestFit="1" customWidth="1"/>
    <col min="9984" max="9984" width="14.86328125" style="4" bestFit="1" customWidth="1"/>
    <col min="9985" max="10223" width="9.1328125" style="4"/>
    <col min="10224" max="10224" width="15.3984375" style="4" bestFit="1" customWidth="1"/>
    <col min="10225" max="10225" width="11.1328125" style="4" bestFit="1" customWidth="1"/>
    <col min="10226" max="10226" width="14.59765625" style="4" bestFit="1" customWidth="1"/>
    <col min="10227" max="10227" width="17.3984375" style="4" bestFit="1" customWidth="1"/>
    <col min="10228" max="10228" width="17.59765625" style="4" bestFit="1" customWidth="1"/>
    <col min="10229" max="10229" width="14.73046875" style="4" bestFit="1" customWidth="1"/>
    <col min="10230" max="10230" width="14.3984375" style="4" bestFit="1" customWidth="1"/>
    <col min="10231" max="10231" width="12.1328125" style="4" bestFit="1" customWidth="1"/>
    <col min="10232" max="10232" width="12.3984375" style="4" bestFit="1" customWidth="1"/>
    <col min="10233" max="10234" width="13.86328125" style="4" bestFit="1" customWidth="1"/>
    <col min="10235" max="10235" width="14.86328125" style="4" bestFit="1" customWidth="1"/>
    <col min="10236" max="10236" width="12.1328125" style="4" bestFit="1" customWidth="1"/>
    <col min="10237" max="10237" width="12.3984375" style="4" bestFit="1" customWidth="1"/>
    <col min="10238" max="10239" width="13.86328125" style="4" bestFit="1" customWidth="1"/>
    <col min="10240" max="10240" width="14.86328125" style="4" bestFit="1" customWidth="1"/>
    <col min="10241" max="10479" width="9.1328125" style="4"/>
    <col min="10480" max="10480" width="15.3984375" style="4" bestFit="1" customWidth="1"/>
    <col min="10481" max="10481" width="11.1328125" style="4" bestFit="1" customWidth="1"/>
    <col min="10482" max="10482" width="14.59765625" style="4" bestFit="1" customWidth="1"/>
    <col min="10483" max="10483" width="17.3984375" style="4" bestFit="1" customWidth="1"/>
    <col min="10484" max="10484" width="17.59765625" style="4" bestFit="1" customWidth="1"/>
    <col min="10485" max="10485" width="14.73046875" style="4" bestFit="1" customWidth="1"/>
    <col min="10486" max="10486" width="14.3984375" style="4" bestFit="1" customWidth="1"/>
    <col min="10487" max="10487" width="12.1328125" style="4" bestFit="1" customWidth="1"/>
    <col min="10488" max="10488" width="12.3984375" style="4" bestFit="1" customWidth="1"/>
    <col min="10489" max="10490" width="13.86328125" style="4" bestFit="1" customWidth="1"/>
    <col min="10491" max="10491" width="14.86328125" style="4" bestFit="1" customWidth="1"/>
    <col min="10492" max="10492" width="12.1328125" style="4" bestFit="1" customWidth="1"/>
    <col min="10493" max="10493" width="12.3984375" style="4" bestFit="1" customWidth="1"/>
    <col min="10494" max="10495" width="13.86328125" style="4" bestFit="1" customWidth="1"/>
    <col min="10496" max="10496" width="14.86328125" style="4" bestFit="1" customWidth="1"/>
    <col min="10497" max="10735" width="9.1328125" style="4"/>
    <col min="10736" max="10736" width="15.3984375" style="4" bestFit="1" customWidth="1"/>
    <col min="10737" max="10737" width="11.1328125" style="4" bestFit="1" customWidth="1"/>
    <col min="10738" max="10738" width="14.59765625" style="4" bestFit="1" customWidth="1"/>
    <col min="10739" max="10739" width="17.3984375" style="4" bestFit="1" customWidth="1"/>
    <col min="10740" max="10740" width="17.59765625" style="4" bestFit="1" customWidth="1"/>
    <col min="10741" max="10741" width="14.73046875" style="4" bestFit="1" customWidth="1"/>
    <col min="10742" max="10742" width="14.3984375" style="4" bestFit="1" customWidth="1"/>
    <col min="10743" max="10743" width="12.1328125" style="4" bestFit="1" customWidth="1"/>
    <col min="10744" max="10744" width="12.3984375" style="4" bestFit="1" customWidth="1"/>
    <col min="10745" max="10746" width="13.86328125" style="4" bestFit="1" customWidth="1"/>
    <col min="10747" max="10747" width="14.86328125" style="4" bestFit="1" customWidth="1"/>
    <col min="10748" max="10748" width="12.1328125" style="4" bestFit="1" customWidth="1"/>
    <col min="10749" max="10749" width="12.3984375" style="4" bestFit="1" customWidth="1"/>
    <col min="10750" max="10751" width="13.86328125" style="4" bestFit="1" customWidth="1"/>
    <col min="10752" max="10752" width="14.86328125" style="4" bestFit="1" customWidth="1"/>
    <col min="10753" max="10991" width="9.1328125" style="4"/>
    <col min="10992" max="10992" width="15.3984375" style="4" bestFit="1" customWidth="1"/>
    <col min="10993" max="10993" width="11.1328125" style="4" bestFit="1" customWidth="1"/>
    <col min="10994" max="10994" width="14.59765625" style="4" bestFit="1" customWidth="1"/>
    <col min="10995" max="10995" width="17.3984375" style="4" bestFit="1" customWidth="1"/>
    <col min="10996" max="10996" width="17.59765625" style="4" bestFit="1" customWidth="1"/>
    <col min="10997" max="10997" width="14.73046875" style="4" bestFit="1" customWidth="1"/>
    <col min="10998" max="10998" width="14.3984375" style="4" bestFit="1" customWidth="1"/>
    <col min="10999" max="10999" width="12.1328125" style="4" bestFit="1" customWidth="1"/>
    <col min="11000" max="11000" width="12.3984375" style="4" bestFit="1" customWidth="1"/>
    <col min="11001" max="11002" width="13.86328125" style="4" bestFit="1" customWidth="1"/>
    <col min="11003" max="11003" width="14.86328125" style="4" bestFit="1" customWidth="1"/>
    <col min="11004" max="11004" width="12.1328125" style="4" bestFit="1" customWidth="1"/>
    <col min="11005" max="11005" width="12.3984375" style="4" bestFit="1" customWidth="1"/>
    <col min="11006" max="11007" width="13.86328125" style="4" bestFit="1" customWidth="1"/>
    <col min="11008" max="11008" width="14.86328125" style="4" bestFit="1" customWidth="1"/>
    <col min="11009" max="11247" width="9.1328125" style="4"/>
    <col min="11248" max="11248" width="15.3984375" style="4" bestFit="1" customWidth="1"/>
    <col min="11249" max="11249" width="11.1328125" style="4" bestFit="1" customWidth="1"/>
    <col min="11250" max="11250" width="14.59765625" style="4" bestFit="1" customWidth="1"/>
    <col min="11251" max="11251" width="17.3984375" style="4" bestFit="1" customWidth="1"/>
    <col min="11252" max="11252" width="17.59765625" style="4" bestFit="1" customWidth="1"/>
    <col min="11253" max="11253" width="14.73046875" style="4" bestFit="1" customWidth="1"/>
    <col min="11254" max="11254" width="14.3984375" style="4" bestFit="1" customWidth="1"/>
    <col min="11255" max="11255" width="12.1328125" style="4" bestFit="1" customWidth="1"/>
    <col min="11256" max="11256" width="12.3984375" style="4" bestFit="1" customWidth="1"/>
    <col min="11257" max="11258" width="13.86328125" style="4" bestFit="1" customWidth="1"/>
    <col min="11259" max="11259" width="14.86328125" style="4" bestFit="1" customWidth="1"/>
    <col min="11260" max="11260" width="12.1328125" style="4" bestFit="1" customWidth="1"/>
    <col min="11261" max="11261" width="12.3984375" style="4" bestFit="1" customWidth="1"/>
    <col min="11262" max="11263" width="13.86328125" style="4" bestFit="1" customWidth="1"/>
    <col min="11264" max="11264" width="14.86328125" style="4" bestFit="1" customWidth="1"/>
    <col min="11265" max="11503" width="9.1328125" style="4"/>
    <col min="11504" max="11504" width="15.3984375" style="4" bestFit="1" customWidth="1"/>
    <col min="11505" max="11505" width="11.1328125" style="4" bestFit="1" customWidth="1"/>
    <col min="11506" max="11506" width="14.59765625" style="4" bestFit="1" customWidth="1"/>
    <col min="11507" max="11507" width="17.3984375" style="4" bestFit="1" customWidth="1"/>
    <col min="11508" max="11508" width="17.59765625" style="4" bestFit="1" customWidth="1"/>
    <col min="11509" max="11509" width="14.73046875" style="4" bestFit="1" customWidth="1"/>
    <col min="11510" max="11510" width="14.3984375" style="4" bestFit="1" customWidth="1"/>
    <col min="11511" max="11511" width="12.1328125" style="4" bestFit="1" customWidth="1"/>
    <col min="11512" max="11512" width="12.3984375" style="4" bestFit="1" customWidth="1"/>
    <col min="11513" max="11514" width="13.86328125" style="4" bestFit="1" customWidth="1"/>
    <col min="11515" max="11515" width="14.86328125" style="4" bestFit="1" customWidth="1"/>
    <col min="11516" max="11516" width="12.1328125" style="4" bestFit="1" customWidth="1"/>
    <col min="11517" max="11517" width="12.3984375" style="4" bestFit="1" customWidth="1"/>
    <col min="11518" max="11519" width="13.86328125" style="4" bestFit="1" customWidth="1"/>
    <col min="11520" max="11520" width="14.86328125" style="4" bestFit="1" customWidth="1"/>
    <col min="11521" max="11759" width="9.1328125" style="4"/>
    <col min="11760" max="11760" width="15.3984375" style="4" bestFit="1" customWidth="1"/>
    <col min="11761" max="11761" width="11.1328125" style="4" bestFit="1" customWidth="1"/>
    <col min="11762" max="11762" width="14.59765625" style="4" bestFit="1" customWidth="1"/>
    <col min="11763" max="11763" width="17.3984375" style="4" bestFit="1" customWidth="1"/>
    <col min="11764" max="11764" width="17.59765625" style="4" bestFit="1" customWidth="1"/>
    <col min="11765" max="11765" width="14.73046875" style="4" bestFit="1" customWidth="1"/>
    <col min="11766" max="11766" width="14.3984375" style="4" bestFit="1" customWidth="1"/>
    <col min="11767" max="11767" width="12.1328125" style="4" bestFit="1" customWidth="1"/>
    <col min="11768" max="11768" width="12.3984375" style="4" bestFit="1" customWidth="1"/>
    <col min="11769" max="11770" width="13.86328125" style="4" bestFit="1" customWidth="1"/>
    <col min="11771" max="11771" width="14.86328125" style="4" bestFit="1" customWidth="1"/>
    <col min="11772" max="11772" width="12.1328125" style="4" bestFit="1" customWidth="1"/>
    <col min="11773" max="11773" width="12.3984375" style="4" bestFit="1" customWidth="1"/>
    <col min="11774" max="11775" width="13.86328125" style="4" bestFit="1" customWidth="1"/>
    <col min="11776" max="11776" width="14.86328125" style="4" bestFit="1" customWidth="1"/>
    <col min="11777" max="12015" width="9.1328125" style="4"/>
    <col min="12016" max="12016" width="15.3984375" style="4" bestFit="1" customWidth="1"/>
    <col min="12017" max="12017" width="11.1328125" style="4" bestFit="1" customWidth="1"/>
    <col min="12018" max="12018" width="14.59765625" style="4" bestFit="1" customWidth="1"/>
    <col min="12019" max="12019" width="17.3984375" style="4" bestFit="1" customWidth="1"/>
    <col min="12020" max="12020" width="17.59765625" style="4" bestFit="1" customWidth="1"/>
    <col min="12021" max="12021" width="14.73046875" style="4" bestFit="1" customWidth="1"/>
    <col min="12022" max="12022" width="14.3984375" style="4" bestFit="1" customWidth="1"/>
    <col min="12023" max="12023" width="12.1328125" style="4" bestFit="1" customWidth="1"/>
    <col min="12024" max="12024" width="12.3984375" style="4" bestFit="1" customWidth="1"/>
    <col min="12025" max="12026" width="13.86328125" style="4" bestFit="1" customWidth="1"/>
    <col min="12027" max="12027" width="14.86328125" style="4" bestFit="1" customWidth="1"/>
    <col min="12028" max="12028" width="12.1328125" style="4" bestFit="1" customWidth="1"/>
    <col min="12029" max="12029" width="12.3984375" style="4" bestFit="1" customWidth="1"/>
    <col min="12030" max="12031" width="13.86328125" style="4" bestFit="1" customWidth="1"/>
    <col min="12032" max="12032" width="14.86328125" style="4" bestFit="1" customWidth="1"/>
    <col min="12033" max="12271" width="9.1328125" style="4"/>
    <col min="12272" max="12272" width="15.3984375" style="4" bestFit="1" customWidth="1"/>
    <col min="12273" max="12273" width="11.1328125" style="4" bestFit="1" customWidth="1"/>
    <col min="12274" max="12274" width="14.59765625" style="4" bestFit="1" customWidth="1"/>
    <col min="12275" max="12275" width="17.3984375" style="4" bestFit="1" customWidth="1"/>
    <col min="12276" max="12276" width="17.59765625" style="4" bestFit="1" customWidth="1"/>
    <col min="12277" max="12277" width="14.73046875" style="4" bestFit="1" customWidth="1"/>
    <col min="12278" max="12278" width="14.3984375" style="4" bestFit="1" customWidth="1"/>
    <col min="12279" max="12279" width="12.1328125" style="4" bestFit="1" customWidth="1"/>
    <col min="12280" max="12280" width="12.3984375" style="4" bestFit="1" customWidth="1"/>
    <col min="12281" max="12282" width="13.86328125" style="4" bestFit="1" customWidth="1"/>
    <col min="12283" max="12283" width="14.86328125" style="4" bestFit="1" customWidth="1"/>
    <col min="12284" max="12284" width="12.1328125" style="4" bestFit="1" customWidth="1"/>
    <col min="12285" max="12285" width="12.3984375" style="4" bestFit="1" customWidth="1"/>
    <col min="12286" max="12287" width="13.86328125" style="4" bestFit="1" customWidth="1"/>
    <col min="12288" max="12288" width="14.86328125" style="4" bestFit="1" customWidth="1"/>
    <col min="12289" max="12527" width="9.1328125" style="4"/>
    <col min="12528" max="12528" width="15.3984375" style="4" bestFit="1" customWidth="1"/>
    <col min="12529" max="12529" width="11.1328125" style="4" bestFit="1" customWidth="1"/>
    <col min="12530" max="12530" width="14.59765625" style="4" bestFit="1" customWidth="1"/>
    <col min="12531" max="12531" width="17.3984375" style="4" bestFit="1" customWidth="1"/>
    <col min="12532" max="12532" width="17.59765625" style="4" bestFit="1" customWidth="1"/>
    <col min="12533" max="12533" width="14.73046875" style="4" bestFit="1" customWidth="1"/>
    <col min="12534" max="12534" width="14.3984375" style="4" bestFit="1" customWidth="1"/>
    <col min="12535" max="12535" width="12.1328125" style="4" bestFit="1" customWidth="1"/>
    <col min="12536" max="12536" width="12.3984375" style="4" bestFit="1" customWidth="1"/>
    <col min="12537" max="12538" width="13.86328125" style="4" bestFit="1" customWidth="1"/>
    <col min="12539" max="12539" width="14.86328125" style="4" bestFit="1" customWidth="1"/>
    <col min="12540" max="12540" width="12.1328125" style="4" bestFit="1" customWidth="1"/>
    <col min="12541" max="12541" width="12.3984375" style="4" bestFit="1" customWidth="1"/>
    <col min="12542" max="12543" width="13.86328125" style="4" bestFit="1" customWidth="1"/>
    <col min="12544" max="12544" width="14.86328125" style="4" bestFit="1" customWidth="1"/>
    <col min="12545" max="12783" width="9.1328125" style="4"/>
    <col min="12784" max="12784" width="15.3984375" style="4" bestFit="1" customWidth="1"/>
    <col min="12785" max="12785" width="11.1328125" style="4" bestFit="1" customWidth="1"/>
    <col min="12786" max="12786" width="14.59765625" style="4" bestFit="1" customWidth="1"/>
    <col min="12787" max="12787" width="17.3984375" style="4" bestFit="1" customWidth="1"/>
    <col min="12788" max="12788" width="17.59765625" style="4" bestFit="1" customWidth="1"/>
    <col min="12789" max="12789" width="14.73046875" style="4" bestFit="1" customWidth="1"/>
    <col min="12790" max="12790" width="14.3984375" style="4" bestFit="1" customWidth="1"/>
    <col min="12791" max="12791" width="12.1328125" style="4" bestFit="1" customWidth="1"/>
    <col min="12792" max="12792" width="12.3984375" style="4" bestFit="1" customWidth="1"/>
    <col min="12793" max="12794" width="13.86328125" style="4" bestFit="1" customWidth="1"/>
    <col min="12795" max="12795" width="14.86328125" style="4" bestFit="1" customWidth="1"/>
    <col min="12796" max="12796" width="12.1328125" style="4" bestFit="1" customWidth="1"/>
    <col min="12797" max="12797" width="12.3984375" style="4" bestFit="1" customWidth="1"/>
    <col min="12798" max="12799" width="13.86328125" style="4" bestFit="1" customWidth="1"/>
    <col min="12800" max="12800" width="14.86328125" style="4" bestFit="1" customWidth="1"/>
    <col min="12801" max="13039" width="9.1328125" style="4"/>
    <col min="13040" max="13040" width="15.3984375" style="4" bestFit="1" customWidth="1"/>
    <col min="13041" max="13041" width="11.1328125" style="4" bestFit="1" customWidth="1"/>
    <col min="13042" max="13042" width="14.59765625" style="4" bestFit="1" customWidth="1"/>
    <col min="13043" max="13043" width="17.3984375" style="4" bestFit="1" customWidth="1"/>
    <col min="13044" max="13044" width="17.59765625" style="4" bestFit="1" customWidth="1"/>
    <col min="13045" max="13045" width="14.73046875" style="4" bestFit="1" customWidth="1"/>
    <col min="13046" max="13046" width="14.3984375" style="4" bestFit="1" customWidth="1"/>
    <col min="13047" max="13047" width="12.1328125" style="4" bestFit="1" customWidth="1"/>
    <col min="13048" max="13048" width="12.3984375" style="4" bestFit="1" customWidth="1"/>
    <col min="13049" max="13050" width="13.86328125" style="4" bestFit="1" customWidth="1"/>
    <col min="13051" max="13051" width="14.86328125" style="4" bestFit="1" customWidth="1"/>
    <col min="13052" max="13052" width="12.1328125" style="4" bestFit="1" customWidth="1"/>
    <col min="13053" max="13053" width="12.3984375" style="4" bestFit="1" customWidth="1"/>
    <col min="13054" max="13055" width="13.86328125" style="4" bestFit="1" customWidth="1"/>
    <col min="13056" max="13056" width="14.86328125" style="4" bestFit="1" customWidth="1"/>
    <col min="13057" max="13295" width="9.1328125" style="4"/>
    <col min="13296" max="13296" width="15.3984375" style="4" bestFit="1" customWidth="1"/>
    <col min="13297" max="13297" width="11.1328125" style="4" bestFit="1" customWidth="1"/>
    <col min="13298" max="13298" width="14.59765625" style="4" bestFit="1" customWidth="1"/>
    <col min="13299" max="13299" width="17.3984375" style="4" bestFit="1" customWidth="1"/>
    <col min="13300" max="13300" width="17.59765625" style="4" bestFit="1" customWidth="1"/>
    <col min="13301" max="13301" width="14.73046875" style="4" bestFit="1" customWidth="1"/>
    <col min="13302" max="13302" width="14.3984375" style="4" bestFit="1" customWidth="1"/>
    <col min="13303" max="13303" width="12.1328125" style="4" bestFit="1" customWidth="1"/>
    <col min="13304" max="13304" width="12.3984375" style="4" bestFit="1" customWidth="1"/>
    <col min="13305" max="13306" width="13.86328125" style="4" bestFit="1" customWidth="1"/>
    <col min="13307" max="13307" width="14.86328125" style="4" bestFit="1" customWidth="1"/>
    <col min="13308" max="13308" width="12.1328125" style="4" bestFit="1" customWidth="1"/>
    <col min="13309" max="13309" width="12.3984375" style="4" bestFit="1" customWidth="1"/>
    <col min="13310" max="13311" width="13.86328125" style="4" bestFit="1" customWidth="1"/>
    <col min="13312" max="13312" width="14.86328125" style="4" bestFit="1" customWidth="1"/>
    <col min="13313" max="13551" width="9.1328125" style="4"/>
    <col min="13552" max="13552" width="15.3984375" style="4" bestFit="1" customWidth="1"/>
    <col min="13553" max="13553" width="11.1328125" style="4" bestFit="1" customWidth="1"/>
    <col min="13554" max="13554" width="14.59765625" style="4" bestFit="1" customWidth="1"/>
    <col min="13555" max="13555" width="17.3984375" style="4" bestFit="1" customWidth="1"/>
    <col min="13556" max="13556" width="17.59765625" style="4" bestFit="1" customWidth="1"/>
    <col min="13557" max="13557" width="14.73046875" style="4" bestFit="1" customWidth="1"/>
    <col min="13558" max="13558" width="14.3984375" style="4" bestFit="1" customWidth="1"/>
    <col min="13559" max="13559" width="12.1328125" style="4" bestFit="1" customWidth="1"/>
    <col min="13560" max="13560" width="12.3984375" style="4" bestFit="1" customWidth="1"/>
    <col min="13561" max="13562" width="13.86328125" style="4" bestFit="1" customWidth="1"/>
    <col min="13563" max="13563" width="14.86328125" style="4" bestFit="1" customWidth="1"/>
    <col min="13564" max="13564" width="12.1328125" style="4" bestFit="1" customWidth="1"/>
    <col min="13565" max="13565" width="12.3984375" style="4" bestFit="1" customWidth="1"/>
    <col min="13566" max="13567" width="13.86328125" style="4" bestFit="1" customWidth="1"/>
    <col min="13568" max="13568" width="14.86328125" style="4" bestFit="1" customWidth="1"/>
    <col min="13569" max="13807" width="9.1328125" style="4"/>
    <col min="13808" max="13808" width="15.3984375" style="4" bestFit="1" customWidth="1"/>
    <col min="13809" max="13809" width="11.1328125" style="4" bestFit="1" customWidth="1"/>
    <col min="13810" max="13810" width="14.59765625" style="4" bestFit="1" customWidth="1"/>
    <col min="13811" max="13811" width="17.3984375" style="4" bestFit="1" customWidth="1"/>
    <col min="13812" max="13812" width="17.59765625" style="4" bestFit="1" customWidth="1"/>
    <col min="13813" max="13813" width="14.73046875" style="4" bestFit="1" customWidth="1"/>
    <col min="13814" max="13814" width="14.3984375" style="4" bestFit="1" customWidth="1"/>
    <col min="13815" max="13815" width="12.1328125" style="4" bestFit="1" customWidth="1"/>
    <col min="13816" max="13816" width="12.3984375" style="4" bestFit="1" customWidth="1"/>
    <col min="13817" max="13818" width="13.86328125" style="4" bestFit="1" customWidth="1"/>
    <col min="13819" max="13819" width="14.86328125" style="4" bestFit="1" customWidth="1"/>
    <col min="13820" max="13820" width="12.1328125" style="4" bestFit="1" customWidth="1"/>
    <col min="13821" max="13821" width="12.3984375" style="4" bestFit="1" customWidth="1"/>
    <col min="13822" max="13823" width="13.86328125" style="4" bestFit="1" customWidth="1"/>
    <col min="13824" max="13824" width="14.86328125" style="4" bestFit="1" customWidth="1"/>
    <col min="13825" max="14063" width="9.1328125" style="4"/>
    <col min="14064" max="14064" width="15.3984375" style="4" bestFit="1" customWidth="1"/>
    <col min="14065" max="14065" width="11.1328125" style="4" bestFit="1" customWidth="1"/>
    <col min="14066" max="14066" width="14.59765625" style="4" bestFit="1" customWidth="1"/>
    <col min="14067" max="14067" width="17.3984375" style="4" bestFit="1" customWidth="1"/>
    <col min="14068" max="14068" width="17.59765625" style="4" bestFit="1" customWidth="1"/>
    <col min="14069" max="14069" width="14.73046875" style="4" bestFit="1" customWidth="1"/>
    <col min="14070" max="14070" width="14.3984375" style="4" bestFit="1" customWidth="1"/>
    <col min="14071" max="14071" width="12.1328125" style="4" bestFit="1" customWidth="1"/>
    <col min="14072" max="14072" width="12.3984375" style="4" bestFit="1" customWidth="1"/>
    <col min="14073" max="14074" width="13.86328125" style="4" bestFit="1" customWidth="1"/>
    <col min="14075" max="14075" width="14.86328125" style="4" bestFit="1" customWidth="1"/>
    <col min="14076" max="14076" width="12.1328125" style="4" bestFit="1" customWidth="1"/>
    <col min="14077" max="14077" width="12.3984375" style="4" bestFit="1" customWidth="1"/>
    <col min="14078" max="14079" width="13.86328125" style="4" bestFit="1" customWidth="1"/>
    <col min="14080" max="14080" width="14.86328125" style="4" bestFit="1" customWidth="1"/>
    <col min="14081" max="14319" width="9.1328125" style="4"/>
    <col min="14320" max="14320" width="15.3984375" style="4" bestFit="1" customWidth="1"/>
    <col min="14321" max="14321" width="11.1328125" style="4" bestFit="1" customWidth="1"/>
    <col min="14322" max="14322" width="14.59765625" style="4" bestFit="1" customWidth="1"/>
    <col min="14323" max="14323" width="17.3984375" style="4" bestFit="1" customWidth="1"/>
    <col min="14324" max="14324" width="17.59765625" style="4" bestFit="1" customWidth="1"/>
    <col min="14325" max="14325" width="14.73046875" style="4" bestFit="1" customWidth="1"/>
    <col min="14326" max="14326" width="14.3984375" style="4" bestFit="1" customWidth="1"/>
    <col min="14327" max="14327" width="12.1328125" style="4" bestFit="1" customWidth="1"/>
    <col min="14328" max="14328" width="12.3984375" style="4" bestFit="1" customWidth="1"/>
    <col min="14329" max="14330" width="13.86328125" style="4" bestFit="1" customWidth="1"/>
    <col min="14331" max="14331" width="14.86328125" style="4" bestFit="1" customWidth="1"/>
    <col min="14332" max="14332" width="12.1328125" style="4" bestFit="1" customWidth="1"/>
    <col min="14333" max="14333" width="12.3984375" style="4" bestFit="1" customWidth="1"/>
    <col min="14334" max="14335" width="13.86328125" style="4" bestFit="1" customWidth="1"/>
    <col min="14336" max="14336" width="14.86328125" style="4" bestFit="1" customWidth="1"/>
    <col min="14337" max="14575" width="9.1328125" style="4"/>
    <col min="14576" max="14576" width="15.3984375" style="4" bestFit="1" customWidth="1"/>
    <col min="14577" max="14577" width="11.1328125" style="4" bestFit="1" customWidth="1"/>
    <col min="14578" max="14578" width="14.59765625" style="4" bestFit="1" customWidth="1"/>
    <col min="14579" max="14579" width="17.3984375" style="4" bestFit="1" customWidth="1"/>
    <col min="14580" max="14580" width="17.59765625" style="4" bestFit="1" customWidth="1"/>
    <col min="14581" max="14581" width="14.73046875" style="4" bestFit="1" customWidth="1"/>
    <col min="14582" max="14582" width="14.3984375" style="4" bestFit="1" customWidth="1"/>
    <col min="14583" max="14583" width="12.1328125" style="4" bestFit="1" customWidth="1"/>
    <col min="14584" max="14584" width="12.3984375" style="4" bestFit="1" customWidth="1"/>
    <col min="14585" max="14586" width="13.86328125" style="4" bestFit="1" customWidth="1"/>
    <col min="14587" max="14587" width="14.86328125" style="4" bestFit="1" customWidth="1"/>
    <col min="14588" max="14588" width="12.1328125" style="4" bestFit="1" customWidth="1"/>
    <col min="14589" max="14589" width="12.3984375" style="4" bestFit="1" customWidth="1"/>
    <col min="14590" max="14591" width="13.86328125" style="4" bestFit="1" customWidth="1"/>
    <col min="14592" max="14592" width="14.86328125" style="4" bestFit="1" customWidth="1"/>
    <col min="14593" max="14831" width="9.1328125" style="4"/>
    <col min="14832" max="14832" width="15.3984375" style="4" bestFit="1" customWidth="1"/>
    <col min="14833" max="14833" width="11.1328125" style="4" bestFit="1" customWidth="1"/>
    <col min="14834" max="14834" width="14.59765625" style="4" bestFit="1" customWidth="1"/>
    <col min="14835" max="14835" width="17.3984375" style="4" bestFit="1" customWidth="1"/>
    <col min="14836" max="14836" width="17.59765625" style="4" bestFit="1" customWidth="1"/>
    <col min="14837" max="14837" width="14.73046875" style="4" bestFit="1" customWidth="1"/>
    <col min="14838" max="14838" width="14.3984375" style="4" bestFit="1" customWidth="1"/>
    <col min="14839" max="14839" width="12.1328125" style="4" bestFit="1" customWidth="1"/>
    <col min="14840" max="14840" width="12.3984375" style="4" bestFit="1" customWidth="1"/>
    <col min="14841" max="14842" width="13.86328125" style="4" bestFit="1" customWidth="1"/>
    <col min="14843" max="14843" width="14.86328125" style="4" bestFit="1" customWidth="1"/>
    <col min="14844" max="14844" width="12.1328125" style="4" bestFit="1" customWidth="1"/>
    <col min="14845" max="14845" width="12.3984375" style="4" bestFit="1" customWidth="1"/>
    <col min="14846" max="14847" width="13.86328125" style="4" bestFit="1" customWidth="1"/>
    <col min="14848" max="14848" width="14.86328125" style="4" bestFit="1" customWidth="1"/>
    <col min="14849" max="15087" width="9.1328125" style="4"/>
    <col min="15088" max="15088" width="15.3984375" style="4" bestFit="1" customWidth="1"/>
    <col min="15089" max="15089" width="11.1328125" style="4" bestFit="1" customWidth="1"/>
    <col min="15090" max="15090" width="14.59765625" style="4" bestFit="1" customWidth="1"/>
    <col min="15091" max="15091" width="17.3984375" style="4" bestFit="1" customWidth="1"/>
    <col min="15092" max="15092" width="17.59765625" style="4" bestFit="1" customWidth="1"/>
    <col min="15093" max="15093" width="14.73046875" style="4" bestFit="1" customWidth="1"/>
    <col min="15094" max="15094" width="14.3984375" style="4" bestFit="1" customWidth="1"/>
    <col min="15095" max="15095" width="12.1328125" style="4" bestFit="1" customWidth="1"/>
    <col min="15096" max="15096" width="12.3984375" style="4" bestFit="1" customWidth="1"/>
    <col min="15097" max="15098" width="13.86328125" style="4" bestFit="1" customWidth="1"/>
    <col min="15099" max="15099" width="14.86328125" style="4" bestFit="1" customWidth="1"/>
    <col min="15100" max="15100" width="12.1328125" style="4" bestFit="1" customWidth="1"/>
    <col min="15101" max="15101" width="12.3984375" style="4" bestFit="1" customWidth="1"/>
    <col min="15102" max="15103" width="13.86328125" style="4" bestFit="1" customWidth="1"/>
    <col min="15104" max="15104" width="14.86328125" style="4" bestFit="1" customWidth="1"/>
    <col min="15105" max="15343" width="9.1328125" style="4"/>
    <col min="15344" max="15344" width="15.3984375" style="4" bestFit="1" customWidth="1"/>
    <col min="15345" max="15345" width="11.1328125" style="4" bestFit="1" customWidth="1"/>
    <col min="15346" max="15346" width="14.59765625" style="4" bestFit="1" customWidth="1"/>
    <col min="15347" max="15347" width="17.3984375" style="4" bestFit="1" customWidth="1"/>
    <col min="15348" max="15348" width="17.59765625" style="4" bestFit="1" customWidth="1"/>
    <col min="15349" max="15349" width="14.73046875" style="4" bestFit="1" customWidth="1"/>
    <col min="15350" max="15350" width="14.3984375" style="4" bestFit="1" customWidth="1"/>
    <col min="15351" max="15351" width="12.1328125" style="4" bestFit="1" customWidth="1"/>
    <col min="15352" max="15352" width="12.3984375" style="4" bestFit="1" customWidth="1"/>
    <col min="15353" max="15354" width="13.86328125" style="4" bestFit="1" customWidth="1"/>
    <col min="15355" max="15355" width="14.86328125" style="4" bestFit="1" customWidth="1"/>
    <col min="15356" max="15356" width="12.1328125" style="4" bestFit="1" customWidth="1"/>
    <col min="15357" max="15357" width="12.3984375" style="4" bestFit="1" customWidth="1"/>
    <col min="15358" max="15359" width="13.86328125" style="4" bestFit="1" customWidth="1"/>
    <col min="15360" max="15360" width="14.86328125" style="4" bestFit="1" customWidth="1"/>
    <col min="15361" max="15599" width="9.1328125" style="4"/>
    <col min="15600" max="15600" width="15.3984375" style="4" bestFit="1" customWidth="1"/>
    <col min="15601" max="15601" width="11.1328125" style="4" bestFit="1" customWidth="1"/>
    <col min="15602" max="15602" width="14.59765625" style="4" bestFit="1" customWidth="1"/>
    <col min="15603" max="15603" width="17.3984375" style="4" bestFit="1" customWidth="1"/>
    <col min="15604" max="15604" width="17.59765625" style="4" bestFit="1" customWidth="1"/>
    <col min="15605" max="15605" width="14.73046875" style="4" bestFit="1" customWidth="1"/>
    <col min="15606" max="15606" width="14.3984375" style="4" bestFit="1" customWidth="1"/>
    <col min="15607" max="15607" width="12.1328125" style="4" bestFit="1" customWidth="1"/>
    <col min="15608" max="15608" width="12.3984375" style="4" bestFit="1" customWidth="1"/>
    <col min="15609" max="15610" width="13.86328125" style="4" bestFit="1" customWidth="1"/>
    <col min="15611" max="15611" width="14.86328125" style="4" bestFit="1" customWidth="1"/>
    <col min="15612" max="15612" width="12.1328125" style="4" bestFit="1" customWidth="1"/>
    <col min="15613" max="15613" width="12.3984375" style="4" bestFit="1" customWidth="1"/>
    <col min="15614" max="15615" width="13.86328125" style="4" bestFit="1" customWidth="1"/>
    <col min="15616" max="15616" width="14.86328125" style="4" bestFit="1" customWidth="1"/>
    <col min="15617" max="15855" width="9.1328125" style="4"/>
    <col min="15856" max="15856" width="15.3984375" style="4" bestFit="1" customWidth="1"/>
    <col min="15857" max="15857" width="11.1328125" style="4" bestFit="1" customWidth="1"/>
    <col min="15858" max="15858" width="14.59765625" style="4" bestFit="1" customWidth="1"/>
    <col min="15859" max="15859" width="17.3984375" style="4" bestFit="1" customWidth="1"/>
    <col min="15860" max="15860" width="17.59765625" style="4" bestFit="1" customWidth="1"/>
    <col min="15861" max="15861" width="14.73046875" style="4" bestFit="1" customWidth="1"/>
    <col min="15862" max="15862" width="14.3984375" style="4" bestFit="1" customWidth="1"/>
    <col min="15863" max="15863" width="12.1328125" style="4" bestFit="1" customWidth="1"/>
    <col min="15864" max="15864" width="12.3984375" style="4" bestFit="1" customWidth="1"/>
    <col min="15865" max="15866" width="13.86328125" style="4" bestFit="1" customWidth="1"/>
    <col min="15867" max="15867" width="14.86328125" style="4" bestFit="1" customWidth="1"/>
    <col min="15868" max="15868" width="12.1328125" style="4" bestFit="1" customWidth="1"/>
    <col min="15869" max="15869" width="12.3984375" style="4" bestFit="1" customWidth="1"/>
    <col min="15870" max="15871" width="13.86328125" style="4" bestFit="1" customWidth="1"/>
    <col min="15872" max="15872" width="14.86328125" style="4" bestFit="1" customWidth="1"/>
    <col min="15873" max="16111" width="9.1328125" style="4"/>
    <col min="16112" max="16112" width="15.3984375" style="4" bestFit="1" customWidth="1"/>
    <col min="16113" max="16113" width="11.1328125" style="4" bestFit="1" customWidth="1"/>
    <col min="16114" max="16114" width="14.59765625" style="4" bestFit="1" customWidth="1"/>
    <col min="16115" max="16115" width="17.3984375" style="4" bestFit="1" customWidth="1"/>
    <col min="16116" max="16116" width="17.59765625" style="4" bestFit="1" customWidth="1"/>
    <col min="16117" max="16117" width="14.73046875" style="4" bestFit="1" customWidth="1"/>
    <col min="16118" max="16118" width="14.3984375" style="4" bestFit="1" customWidth="1"/>
    <col min="16119" max="16119" width="12.1328125" style="4" bestFit="1" customWidth="1"/>
    <col min="16120" max="16120" width="12.3984375" style="4" bestFit="1" customWidth="1"/>
    <col min="16121" max="16122" width="13.86328125" style="4" bestFit="1" customWidth="1"/>
    <col min="16123" max="16123" width="14.86328125" style="4" bestFit="1" customWidth="1"/>
    <col min="16124" max="16124" width="12.1328125" style="4" bestFit="1" customWidth="1"/>
    <col min="16125" max="16125" width="12.3984375" style="4" bestFit="1" customWidth="1"/>
    <col min="16126" max="16127" width="13.86328125" style="4" bestFit="1" customWidth="1"/>
    <col min="16128" max="16128" width="14.86328125" style="4" bestFit="1" customWidth="1"/>
    <col min="16129" max="16379" width="9.1328125" style="4"/>
    <col min="16380" max="16384" width="9.1328125" style="4" customWidth="1"/>
  </cols>
  <sheetData>
    <row r="1" spans="1:8">
      <c r="A1" s="57" t="s">
        <v>323</v>
      </c>
      <c r="B1" s="87" t="s">
        <v>324</v>
      </c>
      <c r="C1" s="58" t="s">
        <v>215</v>
      </c>
      <c r="D1" s="58" t="s">
        <v>216</v>
      </c>
      <c r="E1" s="58" t="s">
        <v>217</v>
      </c>
      <c r="F1" s="58" t="s">
        <v>218</v>
      </c>
      <c r="G1" s="58" t="s">
        <v>219</v>
      </c>
      <c r="H1" s="58" t="s">
        <v>220</v>
      </c>
    </row>
    <row r="2" spans="1:8" ht="15" customHeight="1">
      <c r="A2" s="60" t="s">
        <v>5</v>
      </c>
      <c r="B2" s="76" t="s">
        <v>6</v>
      </c>
      <c r="C2" s="61">
        <f>IFERROR((st_DL/(k_decay_iw_state*Rad_Spec!V2*st_IFD_iw*st_EF_iw))*1,".")</f>
        <v>1.0677656153262893</v>
      </c>
      <c r="D2" s="61">
        <f>IFERROR((st_DL/(k_decay_iw_state*Rad_Spec!AN2*st_IRA_iw*(1/s_PEFm_pp_state)*st_SLF*st_ET_iw*st_EF_iw))*1,".")</f>
        <v>6.0938701901833842E-4</v>
      </c>
      <c r="E2" s="61">
        <f>IFERROR((st_DL/(k_decay_iw_state*Rad_Spec!AN2*st_IRA_iw*(1/s_PEF)*st_SLF*st_ET_iw*st_EF_iw))*1,".")</f>
        <v>5.6312577286435996E-2</v>
      </c>
      <c r="F2" s="61">
        <f>IFERROR((st_DL/(k_decay_iw_state*Rad_Spec!AY2*st_GSF_i*st_Fam*st_Foffset*acf!H2*st_ET_iw*(1/24)*st_EF_iw*(1/365)))*1,".")</f>
        <v>7431.0440748765232</v>
      </c>
      <c r="G2" s="61">
        <f t="shared" ref="G2" si="0">(IF(AND(C2&lt;&gt;".",E2&lt;&gt;".",F2&lt;&gt;"."),1/((1/C2)+(1/E2)+(1/F2)),IF(AND(C2&lt;&gt;".",E2&lt;&gt;".",F2="."), 1/((1/C2)+(1/E2)),IF(AND(C2&lt;&gt;".",E2=".",F2&lt;&gt;"."),1/((1/C2)+(1/F2)),IF(AND(C2=".",E2&lt;&gt;".",F2&lt;&gt;"."),1/((1/E2)+(1/F2)),IF(AND(C2&lt;&gt;".",E2=".",F2="."),1/(1/C2),IF(AND(C2=".",E2&lt;&gt;".",F2="."),1/(1/E2),IF(AND(C2=".",E2=".",F2&lt;&gt;"."),1/(1/F2),IF(AND(C2=".",E2=".",F2="."),".")))))))))</f>
        <v>5.3491119484542139E-2</v>
      </c>
      <c r="H2" s="61">
        <f t="shared" ref="H2" si="1">(IF(AND(C2&lt;&gt;".",D2&lt;&gt;".",F2&lt;&gt;"."),1/((1/C2)+(1/D2)+(1/F2)),IF(AND(C2&lt;&gt;".",D2&lt;&gt;".",F2="."), 1/((1/C2)+(1/D2)),IF(AND(C2&lt;&gt;".",D2=".",F2&lt;&gt;"."),1/((1/C2)+(1/F2)),IF(AND(C2=".",D2&lt;&gt;".",F2&lt;&gt;"."),1/((1/D2)+(1/F2)),IF(AND(C2&lt;&gt;".",D2=".",F2="."),1/(1/C2),IF(AND(C2=".",D2&lt;&gt;".",F2="."),1/(1/D2),IF(AND(C2=".",D2=".",F2&lt;&gt;"."),1/(1/F2),IF(AND(C2=".",D2=".",F2="."),".")))))))))</f>
        <v>6.0903938277892468E-4</v>
      </c>
    </row>
    <row r="3" spans="1:8" ht="15" customHeight="1">
      <c r="A3" s="62" t="s">
        <v>7</v>
      </c>
      <c r="B3" s="76" t="s">
        <v>8</v>
      </c>
      <c r="C3" s="61">
        <f>IFERROR((st_DL/(k_decay_iw_state*Rad_Spec!V3*st_IFD_iw*st_EF_iw))*1,".")</f>
        <v>0.20203800368428806</v>
      </c>
      <c r="D3" s="61">
        <f>IFERROR((st_DL/(k_decay_iw_state*Rad_Spec!AN3*st_IRA_iw*(1/s_PEFm_pp_state)*st_SLF*st_ET_iw*st_EF_iw))*1,".")</f>
        <v>5.702520728428486E-5</v>
      </c>
      <c r="E3" s="61">
        <f>IFERROR((st_DL/(k_decay_iw_state*Rad_Spec!AN3*st_IRA_iw*(1/s_PEF)*st_SLF*st_ET_iw*st_EF_iw))*1,".")</f>
        <v>5.2696173240518096E-3</v>
      </c>
      <c r="F3" s="61">
        <f>IFERROR((st_DL/(k_decay_iw_state*Rad_Spec!AY3*st_GSF_i*st_Fam*st_Foffset*acf!H3*st_ET_iw*(1/24)*st_EF_iw*(1/365)))*1,".")</f>
        <v>4478.279187661813</v>
      </c>
      <c r="G3" s="61">
        <f t="shared" ref="G3" si="2">(IF(AND(C3&lt;&gt;".",E3&lt;&gt;".",F3&lt;&gt;"."),1/((1/C3)+(1/E3)+(1/F3)),IF(AND(C3&lt;&gt;".",E3&lt;&gt;".",F3="."), 1/((1/C3)+(1/E3)),IF(AND(C3&lt;&gt;".",E3=".",F3&lt;&gt;"."),1/((1/C3)+(1/F3)),IF(AND(C3=".",E3&lt;&gt;".",F3&lt;&gt;"."),1/((1/E3)+(1/F3)),IF(AND(C3&lt;&gt;".",E3=".",F3="."),1/(1/C3),IF(AND(C3=".",E3&lt;&gt;".",F3="."),1/(1/E3),IF(AND(C3=".",E3=".",F3&lt;&gt;"."),1/(1/F3),IF(AND(C3=".",E3=".",F3="."),".")))))))))</f>
        <v>5.1356613818851794E-3</v>
      </c>
      <c r="H3" s="61">
        <f t="shared" ref="H3" si="3">(IF(AND(C3&lt;&gt;".",D3&lt;&gt;".",F3&lt;&gt;"."),1/((1/C3)+(1/D3)+(1/F3)),IF(AND(C3&lt;&gt;".",D3&lt;&gt;".",F3="."), 1/((1/C3)+(1/D3)),IF(AND(C3&lt;&gt;".",D3=".",F3&lt;&gt;"."),1/((1/C3)+(1/F3)),IF(AND(C3=".",D3&lt;&gt;".",F3&lt;&gt;"."),1/((1/D3)+(1/F3)),IF(AND(C3&lt;&gt;".",D3=".",F3="."),1/(1/C3),IF(AND(C3=".",D3&lt;&gt;".",F3="."),1/(1/D3),IF(AND(C3=".",D3=".",F3&lt;&gt;"."),1/(1/F3),IF(AND(C3=".",D3=".",F3="."),".")))))))))</f>
        <v>5.7009115740861566E-5</v>
      </c>
    </row>
    <row r="4" spans="1:8" ht="15" customHeight="1">
      <c r="A4" s="60" t="s">
        <v>9</v>
      </c>
      <c r="B4" s="88" t="s">
        <v>6</v>
      </c>
      <c r="C4" s="61" t="str">
        <f>IFERROR((st_DL/(k_decay_iw_state*Rad_Spec!V4*st_IFD_iw*st_EF_iw))*1,".")</f>
        <v>.</v>
      </c>
      <c r="D4" s="61" t="str">
        <f>IFERROR((st_DL/(k_decay_iw_state*Rad_Spec!AN4*st_IRA_iw*(1/s_PEFm_pp_state)*st_SLF*st_ET_iw*st_EF_iw))*1,".")</f>
        <v>.</v>
      </c>
      <c r="E4" s="61" t="str">
        <f>IFERROR((st_DL/(k_decay_iw_state*Rad_Spec!AN4*st_IRA_iw*(1/s_PEF)*st_SLF*st_ET_iw*st_EF_iw))*1,".")</f>
        <v>.</v>
      </c>
      <c r="F4" s="61">
        <f>IFERROR((st_DL/(k_decay_iw_state*Rad_Spec!AY4*st_GSF_i*st_Fam*st_Foffset*acf!H4*st_ET_iw*(1/24)*st_EF_iw*(1/365)))*1,".")</f>
        <v>463762.58701955178</v>
      </c>
      <c r="G4" s="61">
        <f t="shared" ref="G4:G13" si="4">(IF(AND(C4&lt;&gt;".",E4&lt;&gt;".",F4&lt;&gt;"."),1/((1/C4)+(1/E4)+(1/F4)),IF(AND(C4&lt;&gt;".",E4&lt;&gt;".",F4="."), 1/((1/C4)+(1/E4)),IF(AND(C4&lt;&gt;".",E4=".",F4&lt;&gt;"."),1/((1/C4)+(1/F4)),IF(AND(C4=".",E4&lt;&gt;".",F4&lt;&gt;"."),1/((1/E4)+(1/F4)),IF(AND(C4&lt;&gt;".",E4=".",F4="."),1/(1/C4),IF(AND(C4=".",E4&lt;&gt;".",F4="."),1/(1/E4),IF(AND(C4=".",E4=".",F4&lt;&gt;"."),1/(1/F4),IF(AND(C4=".",E4=".",F4="."),".")))))))))</f>
        <v>463762.58701955184</v>
      </c>
      <c r="H4" s="61">
        <f t="shared" ref="H4:H13" si="5">(IF(AND(C4&lt;&gt;".",D4&lt;&gt;".",F4&lt;&gt;"."),1/((1/C4)+(1/D4)+(1/F4)),IF(AND(C4&lt;&gt;".",D4&lt;&gt;".",F4="."), 1/((1/C4)+(1/D4)),IF(AND(C4&lt;&gt;".",D4=".",F4&lt;&gt;"."),1/((1/C4)+(1/F4)),IF(AND(C4=".",D4&lt;&gt;".",F4&lt;&gt;"."),1/((1/D4)+(1/F4)),IF(AND(C4&lt;&gt;".",D4=".",F4="."),1/(1/C4),IF(AND(C4=".",D4&lt;&gt;".",F4="."),1/(1/D4),IF(AND(C4=".",D4=".",F4&lt;&gt;"."),1/(1/F4),IF(AND(C4=".",D4=".",F4="."),".")))))))))</f>
        <v>463762.58701955184</v>
      </c>
    </row>
    <row r="5" spans="1:8" ht="15" customHeight="1">
      <c r="A5" s="60" t="s">
        <v>10</v>
      </c>
      <c r="B5" s="88" t="s">
        <v>6</v>
      </c>
      <c r="C5" s="61" t="str">
        <f>IFERROR((st_DL/(k_decay_iw_state*Rad_Spec!V5*st_IFD_iw*st_EF_iw))*1,".")</f>
        <v>.</v>
      </c>
      <c r="D5" s="61" t="str">
        <f>IFERROR((st_DL/(k_decay_iw_state*Rad_Spec!AN5*st_IRA_iw*(1/s_PEFm_pp_state)*st_SLF*st_ET_iw*st_EF_iw))*1,".")</f>
        <v>.</v>
      </c>
      <c r="E5" s="61" t="str">
        <f>IFERROR((st_DL/(k_decay_iw_state*Rad_Spec!AN5*st_IRA_iw*(1/s_PEF)*st_SLF*st_ET_iw*st_EF_iw))*1,".")</f>
        <v>.</v>
      </c>
      <c r="F5" s="61">
        <f>IFERROR((st_DL/(k_decay_iw_state*Rad_Spec!AY5*st_GSF_i*st_Fam*st_Foffset*acf!H5*st_ET_iw*(1/24)*st_EF_iw*(1/365)))*1,".")</f>
        <v>855481.89720742765</v>
      </c>
      <c r="G5" s="61">
        <f t="shared" si="4"/>
        <v>855481.89720742765</v>
      </c>
      <c r="H5" s="61">
        <f t="shared" si="5"/>
        <v>855481.89720742765</v>
      </c>
    </row>
    <row r="6" spans="1:8" ht="15" customHeight="1">
      <c r="A6" s="60" t="s">
        <v>11</v>
      </c>
      <c r="B6" s="88" t="s">
        <v>6</v>
      </c>
      <c r="C6" s="61" t="str">
        <f>IFERROR((st_DL/(k_decay_iw_state*Rad_Spec!V6*st_IFD_iw*st_EF_iw))*1,".")</f>
        <v>.</v>
      </c>
      <c r="D6" s="61" t="str">
        <f>IFERROR((st_DL/(k_decay_iw_state*Rad_Spec!AN6*st_IRA_iw*(1/s_PEFm_pp_state)*st_SLF*st_ET_iw*st_EF_iw))*1,".")</f>
        <v>.</v>
      </c>
      <c r="E6" s="61" t="str">
        <f>IFERROR((st_DL/(k_decay_iw_state*Rad_Spec!AN6*st_IRA_iw*(1/s_PEF)*st_SLF*st_ET_iw*st_EF_iw))*1,".")</f>
        <v>.</v>
      </c>
      <c r="F6" s="61">
        <f>IFERROR((st_DL/(k_decay_iw_state*Rad_Spec!AY6*st_GSF_i*st_Fam*st_Foffset*acf!H6*st_ET_iw*(1/24)*st_EF_iw*(1/365)))*1,".")</f>
        <v>188.18092659542137</v>
      </c>
      <c r="G6" s="61">
        <f t="shared" si="4"/>
        <v>188.18092659542137</v>
      </c>
      <c r="H6" s="61">
        <f t="shared" si="5"/>
        <v>188.18092659542137</v>
      </c>
    </row>
    <row r="7" spans="1:8" ht="15" customHeight="1">
      <c r="A7" s="60" t="s">
        <v>12</v>
      </c>
      <c r="B7" s="88" t="s">
        <v>6</v>
      </c>
      <c r="C7" s="61">
        <f>IFERROR((st_DL/(k_decay_iw_state*Rad_Spec!V7*st_IFD_iw*st_EF_iw))*1,".")</f>
        <v>31.462406680606691</v>
      </c>
      <c r="D7" s="61">
        <f>IFERROR((st_DL/(k_decay_iw_state*Rad_Spec!AN7*st_IRA_iw*(1/s_PEFm_pp_state)*st_SLF*st_ET_iw*st_EF_iw))*1,".")</f>
        <v>3.8316252291700999E-2</v>
      </c>
      <c r="E7" s="61">
        <f>IFERROR((st_DL/(k_decay_iw_state*Rad_Spec!AN7*st_IRA_iw*(1/s_PEF)*st_SLF*st_ET_iw*st_EF_iw))*1,".")</f>
        <v>3.5407497225307019</v>
      </c>
      <c r="F7" s="61">
        <f>IFERROR((st_DL/(k_decay_iw_state*Rad_Spec!AY7*st_GSF_i*st_Fam*st_Foffset*acf!H7*st_ET_iw*(1/24)*st_EF_iw*(1/365)))*1,".")</f>
        <v>3013.1895289340168</v>
      </c>
      <c r="G7" s="61">
        <f t="shared" si="4"/>
        <v>3.1792266783717049</v>
      </c>
      <c r="H7" s="61">
        <f t="shared" si="5"/>
        <v>3.8269159849495395E-2</v>
      </c>
    </row>
    <row r="8" spans="1:8" ht="15" customHeight="1">
      <c r="A8" s="60" t="s">
        <v>13</v>
      </c>
      <c r="B8" s="88" t="s">
        <v>6</v>
      </c>
      <c r="C8" s="61">
        <f>IFERROR((st_DL/(k_decay_iw_state*Rad_Spec!V8*st_IFD_iw*st_EF_iw))*1,".")</f>
        <v>208.16036743229679</v>
      </c>
      <c r="D8" s="61">
        <f>IFERROR((st_DL/(k_decay_iw_state*Rad_Spec!AN8*st_IRA_iw*(1/s_PEFm_pp_state)*st_SLF*st_ET_iw*st_EF_iw))*1,".")</f>
        <v>0.15758233336868582</v>
      </c>
      <c r="E8" s="61">
        <f>IFERROR((st_DL/(k_decay_iw_state*Rad_Spec!AN8*st_IRA_iw*(1/s_PEF)*st_SLF*st_ET_iw*st_EF_iw))*1,".")</f>
        <v>14.561956605337539</v>
      </c>
      <c r="F8" s="61">
        <f>IFERROR((st_DL/(k_decay_iw_state*Rad_Spec!AY8*st_GSF_i*st_Fam*st_Foffset*acf!H8*st_ET_iw*(1/24)*st_EF_iw*(1/365)))*1,".")</f>
        <v>661.6716261753304</v>
      </c>
      <c r="G8" s="61">
        <f t="shared" si="4"/>
        <v>13.335573264666923</v>
      </c>
      <c r="H8" s="61">
        <f t="shared" si="5"/>
        <v>0.15742566623890344</v>
      </c>
    </row>
    <row r="9" spans="1:8" ht="15" customHeight="1">
      <c r="A9" s="60" t="s">
        <v>14</v>
      </c>
      <c r="B9" s="88" t="s">
        <v>6</v>
      </c>
      <c r="C9" s="61">
        <f>IFERROR((st_DL/(k_decay_iw_state*Rad_Spec!V9*st_IFD_iw*st_EF_iw))*1,".")</f>
        <v>367.99779242495327</v>
      </c>
      <c r="D9" s="61">
        <f>IFERROR((st_DL/(k_decay_iw_state*Rad_Spec!AN9*st_IRA_iw*(1/s_PEFm_pp_state)*st_SLF*st_ET_iw*st_EF_iw))*1,".")</f>
        <v>0.56553113355128104</v>
      </c>
      <c r="E9" s="61">
        <f>IFERROR((st_DL/(k_decay_iw_state*Rad_Spec!AN9*st_IRA_iw*(1/s_PEF)*st_SLF*st_ET_iw*st_EF_iw))*1,".")</f>
        <v>52.259918035822011</v>
      </c>
      <c r="F9" s="61">
        <f>IFERROR((st_DL/(k_decay_iw_state*Rad_Spec!AY9*st_GSF_i*st_Fam*st_Foffset*acf!H9*st_ET_iw*(1/24)*st_EF_iw*(1/365)))*1,".")</f>
        <v>78.276339037279527</v>
      </c>
      <c r="G9" s="61">
        <f t="shared" si="4"/>
        <v>28.878544523963861</v>
      </c>
      <c r="H9" s="61">
        <f t="shared" si="5"/>
        <v>0.5606192224533979</v>
      </c>
    </row>
    <row r="10" spans="1:8" ht="15" customHeight="1">
      <c r="A10" s="62" t="s">
        <v>15</v>
      </c>
      <c r="B10" s="88" t="s">
        <v>8</v>
      </c>
      <c r="C10" s="61">
        <f>IFERROR((st_DL/(k_decay_iw_state*Rad_Spec!V10*st_IFD_iw*st_EF_iw))*1,".")</f>
        <v>3.0305700552643211</v>
      </c>
      <c r="D10" s="61">
        <f>IFERROR((st_DL/(k_decay_iw_state*Rad_Spec!AN10*st_IRA_iw*(1/s_PEFm_pp_state)*st_SLF*st_ET_iw*st_EF_iw))*1,".")</f>
        <v>0.13415282576950471</v>
      </c>
      <c r="E10" s="61">
        <f>IFERROR((st_DL/(k_decay_iw_state*Rad_Spec!AN10*st_IRA_iw*(1/s_PEF)*st_SLF*st_ET_iw*st_EF_iw))*1,".")</f>
        <v>12.396869532121885</v>
      </c>
      <c r="F10" s="61">
        <f>IFERROR((st_DL/(k_decay_iw_state*Rad_Spec!AY10*st_GSF_i*st_Fam*st_Foffset*acf!H10*st_ET_iw*(1/24)*st_EF_iw*(1/365)))*1,".")</f>
        <v>33967.85295980682</v>
      </c>
      <c r="G10" s="61">
        <f t="shared" si="4"/>
        <v>2.435069546174895</v>
      </c>
      <c r="H10" s="61">
        <f t="shared" si="5"/>
        <v>0.12846559218325021</v>
      </c>
    </row>
    <row r="11" spans="1:8" ht="15" customHeight="1">
      <c r="A11" s="60" t="s">
        <v>16</v>
      </c>
      <c r="B11" s="88" t="s">
        <v>6</v>
      </c>
      <c r="C11" s="61" t="str">
        <f>IFERROR((st_DL/(k_decay_iw_state*Rad_Spec!V11*st_IFD_iw*st_EF_iw))*1,".")</f>
        <v>.</v>
      </c>
      <c r="D11" s="61" t="str">
        <f>IFERROR((st_DL/(k_decay_iw_state*Rad_Spec!AN11*st_IRA_iw*(1/s_PEFm_pp_state)*st_SLF*st_ET_iw*st_EF_iw))*1,".")</f>
        <v>.</v>
      </c>
      <c r="E11" s="61" t="str">
        <f>IFERROR((st_DL/(k_decay_iw_state*Rad_Spec!AN11*st_IRA_iw*(1/s_PEF)*st_SLF*st_ET_iw*st_EF_iw))*1,".")</f>
        <v>.</v>
      </c>
      <c r="F11" s="61">
        <f>IFERROR((st_DL/(k_decay_iw_state*Rad_Spec!AY11*st_GSF_i*st_Fam*st_Foffset*acf!H11*st_ET_iw*(1/24)*st_EF_iw*(1/365)))*1,".")</f>
        <v>3857.271275018968</v>
      </c>
      <c r="G11" s="61">
        <f t="shared" si="4"/>
        <v>3857.271275018968</v>
      </c>
      <c r="H11" s="61">
        <f t="shared" si="5"/>
        <v>3857.271275018968</v>
      </c>
    </row>
    <row r="12" spans="1:8" ht="15" customHeight="1">
      <c r="A12" s="60" t="s">
        <v>17</v>
      </c>
      <c r="B12" s="88" t="s">
        <v>6</v>
      </c>
      <c r="C12" s="61" t="str">
        <f>IFERROR((st_DL/(k_decay_iw_state*Rad_Spec!V12*st_IFD_iw*st_EF_iw))*1,".")</f>
        <v>.</v>
      </c>
      <c r="D12" s="61" t="str">
        <f>IFERROR((st_DL/(k_decay_iw_state*Rad_Spec!AN12*st_IRA_iw*(1/s_PEFm_pp_state)*st_SLF*st_ET_iw*st_EF_iw))*1,".")</f>
        <v>.</v>
      </c>
      <c r="E12" s="61" t="str">
        <f>IFERROR((st_DL/(k_decay_iw_state*Rad_Spec!AN12*st_IRA_iw*(1/s_PEF)*st_SLF*st_ET_iw*st_EF_iw))*1,".")</f>
        <v>.</v>
      </c>
      <c r="F12" s="61">
        <f>IFERROR((st_DL/(k_decay_iw_state*Rad_Spec!AY12*st_GSF_i*st_Fam*st_Foffset*acf!H12*st_ET_iw*(1/24)*st_EF_iw*(1/365)))*1,".")</f>
        <v>716.2214897521435</v>
      </c>
      <c r="G12" s="61">
        <f t="shared" si="4"/>
        <v>716.2214897521435</v>
      </c>
      <c r="H12" s="61">
        <f t="shared" si="5"/>
        <v>716.2214897521435</v>
      </c>
    </row>
    <row r="13" spans="1:8" ht="15" customHeight="1">
      <c r="A13" s="60" t="s">
        <v>18</v>
      </c>
      <c r="B13" s="88" t="s">
        <v>6</v>
      </c>
      <c r="C13" s="61">
        <f>IFERROR((st_DL/(k_decay_iw_state*Rad_Spec!V13*st_IFD_iw*st_EF_iw))*1,".")</f>
        <v>0.38519395094948383</v>
      </c>
      <c r="D13" s="61">
        <f>IFERROR((st_DL/(k_decay_iw_state*Rad_Spec!AN13*st_IRA_iw*(1/s_PEFm_pp_state)*st_SLF*st_ET_iw*st_EF_iw))*1,".")</f>
        <v>4.4398197099907507E-4</v>
      </c>
      <c r="E13" s="61">
        <f>IFERROR((st_DL/(k_decay_iw_state*Rad_Spec!AN13*st_IRA_iw*(1/s_PEF)*st_SLF*st_ET_iw*st_EF_iw))*1,".")</f>
        <v>4.1027734880117663E-2</v>
      </c>
      <c r="F13" s="61">
        <f>IFERROR((st_DL/(k_decay_iw_state*Rad_Spec!AY13*st_GSF_i*st_Fam*st_Foffset*acf!H13*st_ET_iw*(1/24)*st_EF_iw*(1/365)))*1,".")</f>
        <v>3985.419314923176</v>
      </c>
      <c r="G13" s="61">
        <f t="shared" si="4"/>
        <v>3.7078095259522076E-2</v>
      </c>
      <c r="H13" s="61">
        <f t="shared" si="5"/>
        <v>4.4347076864160203E-4</v>
      </c>
    </row>
    <row r="14" spans="1:8" ht="15" customHeight="1">
      <c r="A14" s="60" t="s">
        <v>19</v>
      </c>
      <c r="B14" s="88" t="s">
        <v>6</v>
      </c>
      <c r="C14" s="61">
        <f>IFERROR((st_DL/(k_decay_iw_state*Rad_Spec!V14*st_IFD_iw*st_EF_iw))*1,".")</f>
        <v>42.666410715936614</v>
      </c>
      <c r="D14" s="61">
        <f>IFERROR((st_DL/(k_decay_iw_state*Rad_Spec!AN14*st_IRA_iw*(1/s_PEFm_pp_state)*st_SLF*st_ET_iw*st_EF_iw))*1,".")</f>
        <v>1.226792288286918</v>
      </c>
      <c r="E14" s="61">
        <f>IFERROR((st_DL/(k_decay_iw_state*Rad_Spec!AN14*st_IRA_iw*(1/s_PEF)*st_SLF*st_ET_iw*st_EF_iw))*1,".")</f>
        <v>113.36610953716723</v>
      </c>
      <c r="F14" s="61">
        <f>IFERROR((st_DL/(k_decay_iw_state*Rad_Spec!AY14*st_GSF_i*st_Fam*st_Foffset*acf!H14*st_ET_iw*(1/24)*st_EF_iw*(1/365)))*1,".")</f>
        <v>511.18484343497681</v>
      </c>
      <c r="G14" s="61">
        <f t="shared" ref="G14:G16" si="6">(IF(AND(C14&lt;&gt;".",E14&lt;&gt;".",F14&lt;&gt;"."),1/((1/C14)+(1/E14)+(1/F14)),IF(AND(C14&lt;&gt;".",E14&lt;&gt;".",F14="."), 1/((1/C14)+(1/E14)),IF(AND(C14&lt;&gt;".",E14=".",F14&lt;&gt;"."),1/((1/C14)+(1/F14)),IF(AND(C14=".",E14&lt;&gt;".",F14&lt;&gt;"."),1/((1/E14)+(1/F14)),IF(AND(C14&lt;&gt;".",E14=".",F14="."),1/(1/C14),IF(AND(C14=".",E14&lt;&gt;".",F14="."),1/(1/E14),IF(AND(C14=".",E14=".",F14&lt;&gt;"."),1/(1/F14),IF(AND(C14=".",E14=".",F14="."),".")))))))))</f>
        <v>29.227068115570809</v>
      </c>
      <c r="H14" s="61">
        <f t="shared" ref="H14:H16" si="7">(IF(AND(C14&lt;&gt;".",D14&lt;&gt;".",F14&lt;&gt;"."),1/((1/C14)+(1/D14)+(1/F14)),IF(AND(C14&lt;&gt;".",D14&lt;&gt;".",F14="."), 1/((1/C14)+(1/D14)),IF(AND(C14&lt;&gt;".",D14=".",F14&lt;&gt;"."),1/((1/C14)+(1/F14)),IF(AND(C14=".",D14&lt;&gt;".",F14&lt;&gt;"."),1/((1/D14)+(1/F14)),IF(AND(C14&lt;&gt;".",D14=".",F14="."),1/(1/C14),IF(AND(C14=".",D14&lt;&gt;".",F14="."),1/(1/D14),IF(AND(C14=".",D14=".",F14&lt;&gt;"."),1/(1/F14),IF(AND(C14=".",D14=".",F14="."),".")))))))))</f>
        <v>1.1897286521732096</v>
      </c>
    </row>
    <row r="15" spans="1:8" ht="15" customHeight="1">
      <c r="A15" s="60" t="s">
        <v>20</v>
      </c>
      <c r="B15" s="88" t="s">
        <v>6</v>
      </c>
      <c r="C15" s="61">
        <f>IFERROR((st_DL/(k_decay_iw_state*Rad_Spec!V15*st_IFD_iw*st_EF_iw))*1,".")</f>
        <v>726.90921960484604</v>
      </c>
      <c r="D15" s="61">
        <f>IFERROR((st_DL/(k_decay_iw_state*Rad_Spec!AN15*st_IRA_iw*(1/s_PEFm_pp_state)*st_SLF*st_ET_iw*st_EF_iw))*1,".")</f>
        <v>80.145742615878902</v>
      </c>
      <c r="E15" s="61">
        <f>IFERROR((st_DL/(k_decay_iw_state*Rad_Spec!AN15*st_IRA_iw*(1/s_PEF)*st_SLF*st_ET_iw*st_EF_iw))*1,".")</f>
        <v>7406.1527147490351</v>
      </c>
      <c r="F15" s="61">
        <f>IFERROR((st_DL/(k_decay_iw_state*Rad_Spec!AY15*st_GSF_i*st_Fam*st_Foffset*acf!H15*st_ET_iw*(1/24)*st_EF_iw*(1/365)))*1,".")</f>
        <v>33522.017915651551</v>
      </c>
      <c r="G15" s="61">
        <f t="shared" si="6"/>
        <v>649.12235608381854</v>
      </c>
      <c r="H15" s="61">
        <f t="shared" si="7"/>
        <v>72.031641596482814</v>
      </c>
    </row>
    <row r="16" spans="1:8" ht="15" customHeight="1">
      <c r="A16" s="62" t="s">
        <v>21</v>
      </c>
      <c r="B16" s="88" t="s">
        <v>6</v>
      </c>
      <c r="C16" s="61">
        <f>IFERROR((st_DL/(k_decay_iw_state*Rad_Spec!V16*st_IFD_iw*st_EF_iw))*1,".")</f>
        <v>5.9218035562636162E-2</v>
      </c>
      <c r="D16" s="61">
        <f>IFERROR((st_DL/(k_decay_iw_state*Rad_Spec!AN16*st_IRA_iw*(1/s_PEFm_pp_state)*st_SLF*st_ET_iw*st_EF_iw))*1,".")</f>
        <v>9.2772352149060459E-4</v>
      </c>
      <c r="E16" s="61">
        <f>IFERROR((st_DL/(k_decay_iw_state*Rad_Spec!AN16*st_IRA_iw*(1/s_PEF)*st_SLF*st_ET_iw*st_EF_iw))*1,".")</f>
        <v>8.5729595271887643E-2</v>
      </c>
      <c r="F16" s="61">
        <f>IFERROR((st_DL/(k_decay_iw_state*Rad_Spec!AY16*st_GSF_i*st_Fam*st_Foffset*acf!H16*st_ET_iw*(1/24)*st_EF_iw*(1/365)))*1,".")</f>
        <v>44351.0200165141</v>
      </c>
      <c r="G16" s="61">
        <f t="shared" si="6"/>
        <v>3.5024609806881692E-2</v>
      </c>
      <c r="H16" s="61">
        <f t="shared" si="7"/>
        <v>9.1341375008052012E-4</v>
      </c>
    </row>
    <row r="17" spans="1:8" ht="15" customHeight="1">
      <c r="A17" s="60" t="s">
        <v>22</v>
      </c>
      <c r="B17" s="88" t="s">
        <v>6</v>
      </c>
      <c r="C17" s="61">
        <f>IFERROR((st_DL/(k_decay_iw_state*Rad_Spec!V17*st_IFD_iw*st_EF_iw))*1,".")</f>
        <v>296.5162068460055</v>
      </c>
      <c r="D17" s="61">
        <f>IFERROR((st_DL/(k_decay_iw_state*Rad_Spec!AN17*st_IRA_iw*(1/s_PEFm_pp_state)*st_SLF*st_ET_iw*st_EF_iw))*1,".")</f>
        <v>0.44417252120122069</v>
      </c>
      <c r="E17" s="61">
        <f>IFERROR((st_DL/(k_decay_iw_state*Rad_Spec!AN17*st_IRA_iw*(1/s_PEF)*st_SLF*st_ET_iw*st_EF_iw))*1,".")</f>
        <v>41.045343350023302</v>
      </c>
      <c r="F17" s="61">
        <f>IFERROR((st_DL/(k_decay_iw_state*Rad_Spec!AY17*st_GSF_i*st_Fam*st_Foffset*acf!H17*st_ET_iw*(1/24)*st_EF_iw*(1/365)))*1,".")</f>
        <v>439.24015721392078</v>
      </c>
      <c r="G17" s="61">
        <f t="shared" ref="G17" si="8">(IF(AND(C17&lt;&gt;".",E17&lt;&gt;".",F17&lt;&gt;"."),1/((1/C17)+(1/E17)+(1/F17)),IF(AND(C17&lt;&gt;".",E17&lt;&gt;".",F17="."), 1/((1/C17)+(1/E17)),IF(AND(C17&lt;&gt;".",E17=".",F17&lt;&gt;"."),1/((1/C17)+(1/F17)),IF(AND(C17=".",E17&lt;&gt;".",F17&lt;&gt;"."),1/((1/E17)+(1/F17)),IF(AND(C17&lt;&gt;".",E17=".",F17="."),1/(1/C17),IF(AND(C17=".",E17&lt;&gt;".",F17="."),1/(1/E17),IF(AND(C17=".",E17=".",F17&lt;&gt;"."),1/(1/F17),IF(AND(C17=".",E17=".",F17="."),".")))))))))</f>
        <v>33.319499658058362</v>
      </c>
      <c r="H17" s="61">
        <f t="shared" ref="H17" si="9">(IF(AND(C17&lt;&gt;".",D17&lt;&gt;".",F17&lt;&gt;"."),1/((1/C17)+(1/D17)+(1/F17)),IF(AND(C17&lt;&gt;".",D17&lt;&gt;".",F17="."), 1/((1/C17)+(1/D17)),IF(AND(C17&lt;&gt;".",D17=".",F17&lt;&gt;"."),1/((1/C17)+(1/F17)),IF(AND(C17=".",D17&lt;&gt;".",F17&lt;&gt;"."),1/((1/D17)+(1/F17)),IF(AND(C17&lt;&gt;".",D17=".",F17="."),1/(1/C17),IF(AND(C17=".",D17&lt;&gt;".",F17="."),1/(1/D17),IF(AND(C17=".",D17=".",F17&lt;&gt;"."),1/(1/F17),IF(AND(C17=".",D17=".",F17="."),".")))))))))</f>
        <v>0.44306079315719837</v>
      </c>
    </row>
    <row r="18" spans="1:8" ht="15" customHeight="1">
      <c r="A18" s="60" t="s">
        <v>23</v>
      </c>
      <c r="B18" s="88" t="s">
        <v>6</v>
      </c>
      <c r="C18" s="61">
        <f>IFERROR((st_DL/(k_decay_iw_state*Rad_Spec!V18*st_IFD_iw*st_EF_iw))*1,".")</f>
        <v>3.4062605579830388E-2</v>
      </c>
      <c r="D18" s="61">
        <f>IFERROR((st_DL/(k_decay_iw_state*Rad_Spec!AN18*st_IRA_iw*(1/s_PEFm_pp_state)*st_SLF*st_ET_iw*st_EF_iw))*1,".")</f>
        <v>1.1953360757667405E-3</v>
      </c>
      <c r="E18" s="61">
        <f>IFERROR((st_DL/(k_decay_iw_state*Rad_Spec!AN18*st_IRA_iw*(1/s_PEF)*st_SLF*st_ET_iw*st_EF_iw))*1,".")</f>
        <v>0.11045928621570139</v>
      </c>
      <c r="F18" s="61">
        <f>IFERROR((st_DL/(k_decay_iw_state*Rad_Spec!AY18*st_GSF_i*st_Fam*st_Foffset*acf!H18*st_ET_iw*(1/24)*st_EF_iw*(1/365)))*1,".")</f>
        <v>11843528.059223883</v>
      </c>
      <c r="G18" s="61">
        <f t="shared" ref="G18:G21" si="10">(IF(AND(C18&lt;&gt;".",E18&lt;&gt;".",F18&lt;&gt;"."),1/((1/C18)+(1/E18)+(1/F18)),IF(AND(C18&lt;&gt;".",E18&lt;&gt;".",F18="."), 1/((1/C18)+(1/E18)),IF(AND(C18&lt;&gt;".",E18=".",F18&lt;&gt;"."),1/((1/C18)+(1/F18)),IF(AND(C18=".",E18&lt;&gt;".",F18&lt;&gt;"."),1/((1/E18)+(1/F18)),IF(AND(C18&lt;&gt;".",E18=".",F18="."),1/(1/C18),IF(AND(C18=".",E18&lt;&gt;".",F18="."),1/(1/E18),IF(AND(C18=".",E18=".",F18&lt;&gt;"."),1/(1/F18),IF(AND(C18=".",E18=".",F18="."),".")))))))))</f>
        <v>2.6034333234770168E-2</v>
      </c>
      <c r="H18" s="61">
        <f t="shared" ref="H18:H21" si="11">(IF(AND(C18&lt;&gt;".",D18&lt;&gt;".",F18&lt;&gt;"."),1/((1/C18)+(1/D18)+(1/F18)),IF(AND(C18&lt;&gt;".",D18&lt;&gt;".",F18="."), 1/((1/C18)+(1/D18)),IF(AND(C18&lt;&gt;".",D18=".",F18&lt;&gt;"."),1/((1/C18)+(1/F18)),IF(AND(C18=".",D18&lt;&gt;".",F18&lt;&gt;"."),1/((1/D18)+(1/F18)),IF(AND(C18&lt;&gt;".",D18=".",F18="."),1/(1/C18),IF(AND(C18=".",D18&lt;&gt;".",F18="."),1/(1/D18),IF(AND(C18=".",D18=".",F18&lt;&gt;"."),1/(1/F18),IF(AND(C18=".",D18=".",F18="."),".")))))))))</f>
        <v>1.1548110686078873E-3</v>
      </c>
    </row>
    <row r="19" spans="1:8" ht="15" customHeight="1">
      <c r="A19" s="60" t="s">
        <v>24</v>
      </c>
      <c r="B19" s="88" t="s">
        <v>6</v>
      </c>
      <c r="C19" s="61" t="str">
        <f>IFERROR((st_DL/(k_decay_iw_state*Rad_Spec!V19*st_IFD_iw*st_EF_iw))*1,".")</f>
        <v>.</v>
      </c>
      <c r="D19" s="61" t="str">
        <f>IFERROR((st_DL/(k_decay_iw_state*Rad_Spec!AN19*st_IRA_iw*(1/s_PEFm_pp_state)*st_SLF*st_ET_iw*st_EF_iw))*1,".")</f>
        <v>.</v>
      </c>
      <c r="E19" s="61" t="str">
        <f>IFERROR((st_DL/(k_decay_iw_state*Rad_Spec!AN19*st_IRA_iw*(1/s_PEF)*st_SLF*st_ET_iw*st_EF_iw))*1,".")</f>
        <v>.</v>
      </c>
      <c r="F19" s="61">
        <f>IFERROR((st_DL/(k_decay_iw_state*Rad_Spec!AY19*st_GSF_i*st_Fam*st_Foffset*acf!H19*st_ET_iw*(1/24)*st_EF_iw*(1/365)))*1,".")</f>
        <v>3063765.786962816</v>
      </c>
      <c r="G19" s="61">
        <f t="shared" si="10"/>
        <v>3063765.786962816</v>
      </c>
      <c r="H19" s="61">
        <f t="shared" si="11"/>
        <v>3063765.786962816</v>
      </c>
    </row>
    <row r="20" spans="1:8" ht="15" customHeight="1">
      <c r="A20" s="60" t="s">
        <v>25</v>
      </c>
      <c r="B20" s="88" t="s">
        <v>6</v>
      </c>
      <c r="C20" s="61" t="str">
        <f>IFERROR((st_DL/(k_decay_iw_state*Rad_Spec!V20*st_IFD_iw*st_EF_iw))*1,".")</f>
        <v>.</v>
      </c>
      <c r="D20" s="61" t="str">
        <f>IFERROR((st_DL/(k_decay_iw_state*Rad_Spec!AN20*st_IRA_iw*(1/s_PEFm_pp_state)*st_SLF*st_ET_iw*st_EF_iw))*1,".")</f>
        <v>.</v>
      </c>
      <c r="E20" s="61" t="str">
        <f>IFERROR((st_DL/(k_decay_iw_state*Rad_Spec!AN20*st_IRA_iw*(1/s_PEF)*st_SLF*st_ET_iw*st_EF_iw))*1,".")</f>
        <v>.</v>
      </c>
      <c r="F20" s="61">
        <f>IFERROR((st_DL/(k_decay_iw_state*Rad_Spec!AY20*st_GSF_i*st_Fam*st_Foffset*acf!H20*st_ET_iw*(1/24)*st_EF_iw*(1/365)))*1,".")</f>
        <v>1390903.5705523596</v>
      </c>
      <c r="G20" s="61">
        <f t="shared" si="10"/>
        <v>1390903.5705523596</v>
      </c>
      <c r="H20" s="61">
        <f t="shared" si="11"/>
        <v>1390903.5705523596</v>
      </c>
    </row>
    <row r="21" spans="1:8" ht="15" customHeight="1">
      <c r="A21" s="60" t="s">
        <v>26</v>
      </c>
      <c r="B21" s="88" t="s">
        <v>6</v>
      </c>
      <c r="C21" s="61" t="str">
        <f>IFERROR((st_DL/(k_decay_iw_state*Rad_Spec!V21*st_IFD_iw*st_EF_iw))*1,".")</f>
        <v>.</v>
      </c>
      <c r="D21" s="61">
        <f>IFERROR((st_DL/(k_decay_iw_state*Rad_Spec!AN21*st_IRA_iw*(1/s_PEFm_pp_state)*st_SLF*st_ET_iw*st_EF_iw))*1,".")</f>
        <v>2.7163306414667829</v>
      </c>
      <c r="E21" s="61">
        <f>IFERROR((st_DL/(k_decay_iw_state*Rad_Spec!AN21*st_IRA_iw*(1/s_PEF)*st_SLF*st_ET_iw*st_EF_iw))*1,".")</f>
        <v>251.01220473898763</v>
      </c>
      <c r="F21" s="61">
        <f>IFERROR((st_DL/(k_decay_iw_state*Rad_Spec!AY21*st_GSF_i*st_Fam*st_Foffset*acf!H21*st_ET_iw*(1/24)*st_EF_iw*(1/365)))*1,".")</f>
        <v>16080486789.613297</v>
      </c>
      <c r="G21" s="61">
        <f t="shared" si="10"/>
        <v>251.01220082075267</v>
      </c>
      <c r="H21" s="61">
        <f t="shared" si="11"/>
        <v>2.7163306410079375</v>
      </c>
    </row>
    <row r="22" spans="1:8" ht="15" customHeight="1">
      <c r="A22" s="60" t="s">
        <v>27</v>
      </c>
      <c r="B22" s="88" t="s">
        <v>6</v>
      </c>
      <c r="C22" s="61">
        <f>IFERROR((st_DL/(k_decay_iw_state*Rad_Spec!V22*st_IFD_iw*st_EF_iw))*1,".")</f>
        <v>0.41381277863046956</v>
      </c>
      <c r="D22" s="61">
        <f>IFERROR((st_DL/(k_decay_iw_state*Rad_Spec!AN22*st_IRA_iw*(1/s_PEFm_pp_state)*st_SLF*st_ET_iw*st_EF_iw))*1,".")</f>
        <v>6.651810742673421E-4</v>
      </c>
      <c r="E22" s="61">
        <f>IFERROR((st_DL/(k_decay_iw_state*Rad_Spec!AN22*st_IRA_iw*(1/s_PEF)*st_SLF*st_ET_iw*st_EF_iw))*1,".")</f>
        <v>6.1468425623006258E-2</v>
      </c>
      <c r="F22" s="61">
        <f>IFERROR((st_DL/(k_decay_iw_state*Rad_Spec!AY22*st_GSF_i*st_Fam*st_Foffset*acf!H22*st_ET_iw*(1/24)*st_EF_iw*(1/365)))*1,".")</f>
        <v>8860.1526197651474</v>
      </c>
      <c r="G22" s="61">
        <f t="shared" ref="G22:G23" si="12">(IF(AND(C22&lt;&gt;".",E22&lt;&gt;".",F22&lt;&gt;"."),1/((1/C22)+(1/E22)+(1/F22)),IF(AND(C22&lt;&gt;".",E22&lt;&gt;".",F22="."), 1/((1/C22)+(1/E22)),IF(AND(C22&lt;&gt;".",E22=".",F22&lt;&gt;"."),1/((1/C22)+(1/F22)),IF(AND(C22=".",E22&lt;&gt;".",F22&lt;&gt;"."),1/((1/E22)+(1/F22)),IF(AND(C22&lt;&gt;".",E22=".",F22="."),1/(1/C22),IF(AND(C22=".",E22&lt;&gt;".",F22="."),1/(1/E22),IF(AND(C22=".",E22=".",F22&lt;&gt;"."),1/(1/F22),IF(AND(C22=".",E22=".",F22="."),".")))))))))</f>
        <v>5.3518351099904736E-2</v>
      </c>
      <c r="H22" s="61">
        <f t="shared" ref="H22:H23" si="13">(IF(AND(C22&lt;&gt;".",D22&lt;&gt;".",F22&lt;&gt;"."),1/((1/C22)+(1/D22)+(1/F22)),IF(AND(C22&lt;&gt;".",D22&lt;&gt;".",F22="."), 1/((1/C22)+(1/D22)),IF(AND(C22&lt;&gt;".",D22=".",F22&lt;&gt;"."),1/((1/C22)+(1/F22)),IF(AND(C22=".",D22&lt;&gt;".",F22&lt;&gt;"."),1/((1/D22)+(1/F22)),IF(AND(C22&lt;&gt;".",D22=".",F22="."),1/(1/C22),IF(AND(C22=".",D22&lt;&gt;".",F22="."),1/(1/D22),IF(AND(C22=".",D22=".",F22&lt;&gt;"."),1/(1/F22),IF(AND(C22=".",D22=".",F22="."),".")))))))))</f>
        <v>6.6411349881882438E-4</v>
      </c>
    </row>
    <row r="23" spans="1:8" ht="15" customHeight="1">
      <c r="A23" s="62" t="s">
        <v>28</v>
      </c>
      <c r="B23" s="88" t="s">
        <v>8</v>
      </c>
      <c r="C23" s="61">
        <f>IFERROR((st_DL/(k_decay_iw_state*Rad_Spec!V23*st_IFD_iw*st_EF_iw))*1,".")</f>
        <v>0.14719911696998131</v>
      </c>
      <c r="D23" s="61">
        <f>IFERROR((st_DL/(k_decay_iw_state*Rad_Spec!AN23*st_IRA_iw*(1/s_PEFm_pp_state)*st_SLF*st_ET_iw*st_EF_iw))*1,".")</f>
        <v>5.4312357617362591E-4</v>
      </c>
      <c r="E23" s="61">
        <f>IFERROR((st_DL/(k_decay_iw_state*Rad_Spec!AN23*st_IRA_iw*(1/s_PEF)*st_SLF*st_ET_iw*st_EF_iw))*1,".")</f>
        <v>5.0189267911600249E-2</v>
      </c>
      <c r="F23" s="61">
        <f>IFERROR((st_DL/(k_decay_iw_state*Rad_Spec!AY23*st_GSF_i*st_Fam*st_Foffset*acf!H23*st_ET_iw*(1/24)*st_EF_iw*(1/365)))*1,".")</f>
        <v>15526.466762655877</v>
      </c>
      <c r="G23" s="61">
        <f t="shared" si="12"/>
        <v>3.7427724602435181E-2</v>
      </c>
      <c r="H23" s="61">
        <f t="shared" si="13"/>
        <v>5.411269501293662E-4</v>
      </c>
    </row>
    <row r="24" spans="1:8" ht="15" customHeight="1">
      <c r="A24" s="60" t="s">
        <v>29</v>
      </c>
      <c r="B24" s="88" t="s">
        <v>6</v>
      </c>
      <c r="C24" s="61" t="str">
        <f>IFERROR((st_DL/(k_decay_iw_state*Rad_Spec!V24*st_IFD_iw*st_EF_iw))*1,".")</f>
        <v>.</v>
      </c>
      <c r="D24" s="61" t="str">
        <f>IFERROR((st_DL/(k_decay_iw_state*Rad_Spec!AN24*st_IRA_iw*(1/s_PEFm_pp_state)*st_SLF*st_ET_iw*st_EF_iw))*1,".")</f>
        <v>.</v>
      </c>
      <c r="E24" s="61" t="str">
        <f>IFERROR((st_DL/(k_decay_iw_state*Rad_Spec!AN24*st_IRA_iw*(1/s_PEF)*st_SLF*st_ET_iw*st_EF_iw))*1,".")</f>
        <v>.</v>
      </c>
      <c r="F24" s="61">
        <f>IFERROR((st_DL/(k_decay_iw_state*Rad_Spec!AY24*st_GSF_i*st_Fam*st_Foffset*acf!H24*st_ET_iw*(1/24)*st_EF_iw*(1/365)))*1,".")</f>
        <v>150021.61328790465</v>
      </c>
      <c r="G24" s="61">
        <f t="shared" ref="G24" si="14">(IF(AND(C24&lt;&gt;".",E24&lt;&gt;".",F24&lt;&gt;"."),1/((1/C24)+(1/E24)+(1/F24)),IF(AND(C24&lt;&gt;".",E24&lt;&gt;".",F24="."), 1/((1/C24)+(1/E24)),IF(AND(C24&lt;&gt;".",E24=".",F24&lt;&gt;"."),1/((1/C24)+(1/F24)),IF(AND(C24=".",E24&lt;&gt;".",F24&lt;&gt;"."),1/((1/E24)+(1/F24)),IF(AND(C24&lt;&gt;".",E24=".",F24="."),1/(1/C24),IF(AND(C24=".",E24&lt;&gt;".",F24="."),1/(1/E24),IF(AND(C24=".",E24=".",F24&lt;&gt;"."),1/(1/F24),IF(AND(C24=".",E24=".",F24="."),".")))))))))</f>
        <v>150021.61328790465</v>
      </c>
      <c r="H24" s="61">
        <f t="shared" ref="H24" si="15">(IF(AND(C24&lt;&gt;".",D24&lt;&gt;".",F24&lt;&gt;"."),1/((1/C24)+(1/D24)+(1/F24)),IF(AND(C24&lt;&gt;".",D24&lt;&gt;".",F24="."), 1/((1/C24)+(1/D24)),IF(AND(C24&lt;&gt;".",D24=".",F24&lt;&gt;"."),1/((1/C24)+(1/F24)),IF(AND(C24=".",D24&lt;&gt;".",F24&lt;&gt;"."),1/((1/D24)+(1/F24)),IF(AND(C24&lt;&gt;".",D24=".",F24="."),1/(1/C24),IF(AND(C24=".",D24&lt;&gt;".",F24="."),1/(1/D24),IF(AND(C24=".",D24=".",F24&lt;&gt;"."),1/(1/F24),IF(AND(C24=".",D24=".",F24="."),".")))))))))</f>
        <v>150021.61328790465</v>
      </c>
    </row>
    <row r="25" spans="1:8" ht="15" customHeight="1">
      <c r="A25" s="62" t="s">
        <v>30</v>
      </c>
      <c r="B25" s="88" t="s">
        <v>8</v>
      </c>
      <c r="C25" s="61" t="str">
        <f>IFERROR((st_DL/(k_decay_iw_state*Rad_Spec!V25*st_IFD_iw*st_EF_iw))*1,".")</f>
        <v>.</v>
      </c>
      <c r="D25" s="61">
        <f>IFERROR((st_DL/(k_decay_iw_state*Rad_Spec!AN25*st_IRA_iw*(1/s_PEFm_pp_state)*st_SLF*st_ET_iw*st_EF_iw))*1,".")</f>
        <v>3.1600670974010505</v>
      </c>
      <c r="E25" s="61">
        <f>IFERROR((st_DL/(k_decay_iw_state*Rad_Spec!AN25*st_IRA_iw*(1/s_PEF)*st_SLF*st_ET_iw*st_EF_iw))*1,".")</f>
        <v>292.01725192535656</v>
      </c>
      <c r="F25" s="61">
        <f>IFERROR((st_DL/(k_decay_iw_state*Rad_Spec!AY25*st_GSF_i*st_Fam*st_Foffset*acf!H25*st_ET_iw*(1/24)*st_EF_iw*(1/365)))*1,".")</f>
        <v>293563.92434827337</v>
      </c>
      <c r="G25" s="61">
        <f t="shared" ref="G25" si="16">(IF(AND(C25&lt;&gt;".",E25&lt;&gt;".",F25&lt;&gt;"."),1/((1/C25)+(1/E25)+(1/F25)),IF(AND(C25&lt;&gt;".",E25&lt;&gt;".",F25="."), 1/((1/C25)+(1/E25)),IF(AND(C25&lt;&gt;".",E25=".",F25&lt;&gt;"."),1/((1/C25)+(1/F25)),IF(AND(C25=".",E25&lt;&gt;".",F25&lt;&gt;"."),1/((1/E25)+(1/F25)),IF(AND(C25&lt;&gt;".",E25=".",F25="."),1/(1/C25),IF(AND(C25=".",E25&lt;&gt;".",F25="."),1/(1/E25),IF(AND(C25=".",E25=".",F25&lt;&gt;"."),1/(1/F25),IF(AND(C25=".",E25=".",F25="."),".")))))))))</f>
        <v>291.72706185821801</v>
      </c>
      <c r="H25" s="61">
        <f t="shared" ref="H25" si="17">(IF(AND(C25&lt;&gt;".",D25&lt;&gt;".",F25&lt;&gt;"."),1/((1/C25)+(1/D25)+(1/F25)),IF(AND(C25&lt;&gt;".",D25&lt;&gt;".",F25="."), 1/((1/C25)+(1/D25)),IF(AND(C25&lt;&gt;".",D25=".",F25&lt;&gt;"."),1/((1/C25)+(1/F25)),IF(AND(C25=".",D25&lt;&gt;".",F25&lt;&gt;"."),1/((1/D25)+(1/F25)),IF(AND(C25&lt;&gt;".",D25=".",F25="."),1/(1/C25),IF(AND(C25=".",D25&lt;&gt;".",F25="."),1/(1/D25),IF(AND(C25=".",D25=".",F25&lt;&gt;"."),1/(1/F25),IF(AND(C25=".",D25=".",F25="."),".")))))))))</f>
        <v>3.1600330812439599</v>
      </c>
    </row>
    <row r="26" spans="1:8" ht="15" customHeight="1">
      <c r="A26" s="60" t="s">
        <v>31</v>
      </c>
      <c r="B26" s="88" t="s">
        <v>6</v>
      </c>
      <c r="C26" s="61">
        <f>IFERROR((st_DL/(k_decay_iw_state*Rad_Spec!V26*st_IFD_iw*st_EF_iw))*1,".")</f>
        <v>8.2596698900991528E-2</v>
      </c>
      <c r="D26" s="61">
        <f>IFERROR((st_DL/(k_decay_iw_state*Rad_Spec!AN26*st_IRA_iw*(1/s_PEFm_pp_state)*st_SLF*st_ET_iw*st_EF_iw))*1,".")</f>
        <v>7.4095004431633731E-5</v>
      </c>
      <c r="E26" s="61">
        <f>IFERROR((st_DL/(k_decay_iw_state*Rad_Spec!AN26*st_IRA_iw*(1/s_PEF)*st_SLF*st_ET_iw*st_EF_iw))*1,".")</f>
        <v>6.8470127084699671E-3</v>
      </c>
      <c r="F26" s="61">
        <f>IFERROR((st_DL/(k_decay_iw_state*Rad_Spec!AY26*st_GSF_i*st_Fam*st_Foffset*acf!H26*st_ET_iw*(1/24)*st_EF_iw*(1/365)))*1,".")</f>
        <v>1273.168082492992</v>
      </c>
      <c r="G26" s="61">
        <f t="shared" ref="G26" si="18">(IF(AND(C26&lt;&gt;".",E26&lt;&gt;".",F26&lt;&gt;"."),1/((1/C26)+(1/E26)+(1/F26)),IF(AND(C26&lt;&gt;".",E26&lt;&gt;".",F26="."), 1/((1/C26)+(1/E26)),IF(AND(C26&lt;&gt;".",E26=".",F26&lt;&gt;"."),1/((1/C26)+(1/F26)),IF(AND(C26=".",E26&lt;&gt;".",F26&lt;&gt;"."),1/((1/E26)+(1/F26)),IF(AND(C26&lt;&gt;".",E26=".",F26="."),1/(1/C26),IF(AND(C26=".",E26&lt;&gt;".",F26="."),1/(1/E26),IF(AND(C26=".",E26=".",F26&lt;&gt;"."),1/(1/F26),IF(AND(C26=".",E26=".",F26="."),".")))))))))</f>
        <v>6.3228350912110463E-3</v>
      </c>
      <c r="H26" s="61">
        <f t="shared" ref="H26" si="19">(IF(AND(C26&lt;&gt;".",D26&lt;&gt;".",F26&lt;&gt;"."),1/((1/C26)+(1/D26)+(1/F26)),IF(AND(C26&lt;&gt;".",D26&lt;&gt;".",F26="."), 1/((1/C26)+(1/D26)),IF(AND(C26&lt;&gt;".",D26=".",F26&lt;&gt;"."),1/((1/C26)+(1/F26)),IF(AND(C26=".",D26&lt;&gt;".",F26&lt;&gt;"."),1/((1/D26)+(1/F26)),IF(AND(C26&lt;&gt;".",D26=".",F26="."),1/(1/C26),IF(AND(C26=".",D26&lt;&gt;".",F26="."),1/(1/D26),IF(AND(C26=".",D26=".",F26&lt;&gt;"."),1/(1/F26),IF(AND(C26=".",D26=".",F26="."),".")))))))))</f>
        <v>7.4028591309525734E-5</v>
      </c>
    </row>
    <row r="27" spans="1:8" ht="15" customHeight="1">
      <c r="A27" s="60" t="s">
        <v>32</v>
      </c>
      <c r="B27" s="88" t="s">
        <v>6</v>
      </c>
      <c r="C27" s="61" t="str">
        <f>IFERROR((st_DL/(k_decay_iw_state*Rad_Spec!V27*st_IFD_iw*st_EF_iw))*1,".")</f>
        <v>.</v>
      </c>
      <c r="D27" s="61" t="str">
        <f>IFERROR((st_DL/(k_decay_iw_state*Rad_Spec!AN27*st_IRA_iw*(1/s_PEFm_pp_state)*st_SLF*st_ET_iw*st_EF_iw))*1,".")</f>
        <v>.</v>
      </c>
      <c r="E27" s="61" t="str">
        <f>IFERROR((st_DL/(k_decay_iw_state*Rad_Spec!AN27*st_IRA_iw*(1/s_PEF)*st_SLF*st_ET_iw*st_EF_iw))*1,".")</f>
        <v>.</v>
      </c>
      <c r="F27" s="61">
        <f>IFERROR((st_DL/(k_decay_iw_state*Rad_Spec!AY27*st_GSF_i*st_Fam*st_Foffset*acf!H27*st_ET_iw*(1/24)*st_EF_iw*(1/365)))*1,".")</f>
        <v>1669.3509871977519</v>
      </c>
      <c r="G27" s="61">
        <f t="shared" ref="G27:G29" si="20">(IF(AND(C27&lt;&gt;".",E27&lt;&gt;".",F27&lt;&gt;"."),1/((1/C27)+(1/E27)+(1/F27)),IF(AND(C27&lt;&gt;".",E27&lt;&gt;".",F27="."), 1/((1/C27)+(1/E27)),IF(AND(C27&lt;&gt;".",E27=".",F27&lt;&gt;"."),1/((1/C27)+(1/F27)),IF(AND(C27=".",E27&lt;&gt;".",F27&lt;&gt;"."),1/((1/E27)+(1/F27)),IF(AND(C27&lt;&gt;".",E27=".",F27="."),1/(1/C27),IF(AND(C27=".",E27&lt;&gt;".",F27="."),1/(1/E27),IF(AND(C27=".",E27=".",F27&lt;&gt;"."),1/(1/F27),IF(AND(C27=".",E27=".",F27="."),".")))))))))</f>
        <v>1669.3509871977519</v>
      </c>
      <c r="H27" s="61">
        <f t="shared" ref="H27:H29" si="21">(IF(AND(C27&lt;&gt;".",D27&lt;&gt;".",F27&lt;&gt;"."),1/((1/C27)+(1/D27)+(1/F27)),IF(AND(C27&lt;&gt;".",D27&lt;&gt;".",F27="."), 1/((1/C27)+(1/D27)),IF(AND(C27&lt;&gt;".",D27=".",F27&lt;&gt;"."),1/((1/C27)+(1/F27)),IF(AND(C27=".",D27&lt;&gt;".",F27&lt;&gt;"."),1/((1/D27)+(1/F27)),IF(AND(C27&lt;&gt;".",D27=".",F27="."),1/(1/C27),IF(AND(C27=".",D27&lt;&gt;".",F27="."),1/(1/D27),IF(AND(C27=".",D27=".",F27&lt;&gt;"."),1/(1/F27),IF(AND(C27=".",D27=".",F27="."),".")))))))))</f>
        <v>1669.3509871977519</v>
      </c>
    </row>
    <row r="28" spans="1:8" ht="15" customHeight="1">
      <c r="A28" s="60" t="s">
        <v>33</v>
      </c>
      <c r="B28" s="88" t="s">
        <v>6</v>
      </c>
      <c r="C28" s="61" t="str">
        <f>IFERROR((st_DL/(k_decay_iw_state*Rad_Spec!V28*st_IFD_iw*st_EF_iw))*1,".")</f>
        <v>.</v>
      </c>
      <c r="D28" s="61" t="str">
        <f>IFERROR((st_DL/(k_decay_iw_state*Rad_Spec!AN28*st_IRA_iw*(1/s_PEFm_pp_state)*st_SLF*st_ET_iw*st_EF_iw))*1,".")</f>
        <v>.</v>
      </c>
      <c r="E28" s="61" t="str">
        <f>IFERROR((st_DL/(k_decay_iw_state*Rad_Spec!AN28*st_IRA_iw*(1/s_PEF)*st_SLF*st_ET_iw*st_EF_iw))*1,".")</f>
        <v>.</v>
      </c>
      <c r="F28" s="61">
        <f>IFERROR((st_DL/(k_decay_iw_state*Rad_Spec!AY28*st_GSF_i*st_Fam*st_Foffset*acf!H28*st_ET_iw*(1/24)*st_EF_iw*(1/365)))*1,".")</f>
        <v>54.904513558397497</v>
      </c>
      <c r="G28" s="61">
        <f t="shared" si="20"/>
        <v>54.904513558397504</v>
      </c>
      <c r="H28" s="61">
        <f t="shared" si="21"/>
        <v>54.904513558397504</v>
      </c>
    </row>
    <row r="29" spans="1:8" ht="15" customHeight="1">
      <c r="A29" s="60" t="s">
        <v>34</v>
      </c>
      <c r="B29" s="88" t="s">
        <v>6</v>
      </c>
      <c r="C29" s="61" t="str">
        <f>IFERROR((st_DL/(k_decay_iw_state*Rad_Spec!V29*st_IFD_iw*st_EF_iw))*1,".")</f>
        <v>.</v>
      </c>
      <c r="D29" s="61" t="str">
        <f>IFERROR((st_DL/(k_decay_iw_state*Rad_Spec!AN29*st_IRA_iw*(1/s_PEFm_pp_state)*st_SLF*st_ET_iw*st_EF_iw))*1,".")</f>
        <v>.</v>
      </c>
      <c r="E29" s="61" t="str">
        <f>IFERROR((st_DL/(k_decay_iw_state*Rad_Spec!AN29*st_IRA_iw*(1/s_PEF)*st_SLF*st_ET_iw*st_EF_iw))*1,".")</f>
        <v>.</v>
      </c>
      <c r="F29" s="61">
        <f>IFERROR((st_DL/(k_decay_iw_state*Rad_Spec!AY29*st_GSF_i*st_Fam*st_Foffset*acf!H29*st_ET_iw*(1/24)*st_EF_iw*(1/365)))*1,".")</f>
        <v>41.757768226292292</v>
      </c>
      <c r="G29" s="61">
        <f t="shared" si="20"/>
        <v>41.757768226292292</v>
      </c>
      <c r="H29" s="61">
        <f t="shared" si="21"/>
        <v>41.757768226292292</v>
      </c>
    </row>
    <row r="30" spans="1:8" ht="15" customHeight="1">
      <c r="A30" s="60" t="s">
        <v>35</v>
      </c>
      <c r="B30" s="88" t="s">
        <v>6</v>
      </c>
      <c r="C30" s="61">
        <f>IFERROR((st_DL/(k_decay_iw_state*Rad_Spec!V30*st_IFD_iw*st_EF_iw))*1,".")</f>
        <v>0.80499517092958528</v>
      </c>
      <c r="D30" s="61">
        <f>IFERROR((st_DL/(k_decay_iw_state*Rad_Spec!AN30*st_IRA_iw*(1/s_PEFm_pp_state)*st_SLF*st_ET_iw*st_EF_iw))*1,".")</f>
        <v>5.4312357617362591E-4</v>
      </c>
      <c r="E30" s="61">
        <f>IFERROR((st_DL/(k_decay_iw_state*Rad_Spec!AN30*st_IRA_iw*(1/s_PEF)*st_SLF*st_ET_iw*st_EF_iw))*1,".")</f>
        <v>5.0189267911600249E-2</v>
      </c>
      <c r="F30" s="61">
        <f>IFERROR((st_DL/(k_decay_iw_state*Rad_Spec!AY30*st_GSF_i*st_Fam*st_Foffset*acf!H30*st_ET_iw*(1/24)*st_EF_iw*(1/365)))*1,".")</f>
        <v>202188.4736046966</v>
      </c>
      <c r="G30" s="61">
        <f t="shared" ref="G30" si="22">(IF(AND(C30&lt;&gt;".",E30&lt;&gt;".",F30&lt;&gt;"."),1/((1/C30)+(1/E30)+(1/F30)),IF(AND(C30&lt;&gt;".",E30&lt;&gt;".",F30="."), 1/((1/C30)+(1/E30)),IF(AND(C30&lt;&gt;".",E30=".",F30&lt;&gt;"."),1/((1/C30)+(1/F30)),IF(AND(C30=".",E30&lt;&gt;".",F30&lt;&gt;"."),1/((1/E30)+(1/F30)),IF(AND(C30&lt;&gt;".",E30=".",F30="."),1/(1/C30),IF(AND(C30=".",E30&lt;&gt;".",F30="."),1/(1/E30),IF(AND(C30=".",E30=".",F30&lt;&gt;"."),1/(1/F30),IF(AND(C30=".",E30=".",F30="."),".")))))))))</f>
        <v>4.7243737170476974E-2</v>
      </c>
      <c r="H30" s="61">
        <f t="shared" ref="H30" si="23">(IF(AND(C30&lt;&gt;".",D30&lt;&gt;".",F30&lt;&gt;"."),1/((1/C30)+(1/D30)+(1/F30)),IF(AND(C30&lt;&gt;".",D30&lt;&gt;".",F30="."), 1/((1/C30)+(1/D30)),IF(AND(C30&lt;&gt;".",D30=".",F30&lt;&gt;"."),1/((1/C30)+(1/F30)),IF(AND(C30=".",D30&lt;&gt;".",F30&lt;&gt;"."),1/((1/D30)+(1/F30)),IF(AND(C30&lt;&gt;".",D30=".",F30="."),1/(1/C30),IF(AND(C30=".",D30&lt;&gt;".",F30="."),1/(1/D30),IF(AND(C30=".",D30=".",F30&lt;&gt;"."),1/(1/F30),IF(AND(C30=".",D30=".",F30="."),".")))))))))</f>
        <v>5.4275738080505702E-4</v>
      </c>
    </row>
    <row r="31" spans="1:8">
      <c r="A31" s="63" t="s">
        <v>7</v>
      </c>
      <c r="B31" s="82" t="s">
        <v>6</v>
      </c>
      <c r="C31" s="67">
        <f>IFERROR(1/SUM(1/C32,1/C33,1/C34,1/C35,1/C36,1/C37,1/C38,1/C41,1/C44),0)</f>
        <v>4.1190187261298569E-2</v>
      </c>
      <c r="D31" s="67">
        <f>IFERROR(1/SUM(1/D32,1/D33,1/D34,1/D35,1/D36,1/D37,1/D38,1/D41,1/D44),0)</f>
        <v>2.6125108836038887E-5</v>
      </c>
      <c r="E31" s="67">
        <f t="shared" ref="E31" si="24">IFERROR(1/SUM(1/E32,1/E33,1/E34,1/E35,1/E36,1/E37,1/E38,1/E41,1/E44),0)</f>
        <v>2.4141837035122661E-3</v>
      </c>
      <c r="F31" s="67">
        <f>IFERROR(1/SUM(1/F32,1/F33,1/F34,1/F35,1/F36,1/F37,1/F38,1/F39,1/F40,1/F41,1/F42,1/F43,1/F44),0)</f>
        <v>176.94137734713908</v>
      </c>
      <c r="G31" s="73">
        <f t="shared" ref="G31:H31" si="25">IFERROR(1/SUM(1/G32,1/G33,1/G34,1/G35,1/G36,1/G37,1/G38,1/G39,1/G40,1/G41,1/G42,1/G43,1/G44),0)</f>
        <v>2.2804914965912308E-3</v>
      </c>
      <c r="H31" s="73">
        <f t="shared" si="25"/>
        <v>2.6108545488765531E-5</v>
      </c>
    </row>
    <row r="32" spans="1:8" ht="15" customHeight="1">
      <c r="A32" s="65" t="s">
        <v>390</v>
      </c>
      <c r="B32" s="89">
        <v>1</v>
      </c>
      <c r="C32" s="69">
        <f>IFERROR(C3/$B32,0)</f>
        <v>0.20203800368428806</v>
      </c>
      <c r="D32" s="69">
        <f>IFERROR(D3/$B32,0)</f>
        <v>5.702520728428486E-5</v>
      </c>
      <c r="E32" s="69">
        <f>IFERROR(E3/$B32,0)</f>
        <v>5.2696173240518096E-3</v>
      </c>
      <c r="F32" s="69">
        <f>IFERROR(F3/$B32,0)</f>
        <v>4478.279187661813</v>
      </c>
      <c r="G32" s="70">
        <f t="shared" ref="G32:G44" si="26">(IF(AND(C32&lt;&gt;0,E32&lt;&gt;0,F32&lt;&gt;0),1/((1/C32)+(1/E32)+(1/F32)),IF(AND(C32&lt;&gt;0,E32&lt;&gt;0,F32=0), 1/((1/C32)+(1/E32)),IF(AND(C32&lt;&gt;0,E32=0,F32&lt;&gt;0),1/((1/C32)+(1/F32)),IF(AND(C32=0,E32&lt;&gt;0,F32&lt;&gt;0),1/((1/E32)+(1/F32)),IF(AND(C32&lt;&gt;0,E32=0,F32=0),1/(1/C32),IF(AND(C32=0,E32&lt;&gt;0,F32=0),1/(1/E32),IF(AND(C32=0,E32=0,F32&lt;&gt;0),1/(1/F32),IF(AND(C32=0,E32=0,F32=0),0)))))))))</f>
        <v>5.1356613818851794E-3</v>
      </c>
      <c r="H32" s="70">
        <f t="shared" ref="H32:H44" si="27">(IF(AND(C32&lt;&gt;0,D32&lt;&gt;0,F32&lt;&gt;0),1/((1/C32)+(1/D32)+(1/F32)),IF(AND(C32&lt;&gt;0,D32&lt;&gt;0,F32=0), 1/((1/C32)+(1/D32)),IF(AND(C32&lt;&gt;0,D32=0,F32&lt;&gt;0),1/((1/C32)+(1/F32)),IF(AND(C32=0,D32&lt;&gt;0,F32&lt;&gt;0),1/((1/D32)+(1/F32)),IF(AND(C32&lt;&gt;0,D32=0,F32=0),1/(1/C32),IF(AND(C32=0,D32&lt;&gt;0,F32=0),1/(1/D32),IF(AND(C32=0,D32=0,F32&lt;&gt;0),1/(1/F32),IF(AND(C32=0,D32=0,F32=0),0)))))))))</f>
        <v>5.7009115740861566E-5</v>
      </c>
    </row>
    <row r="33" spans="1:8" ht="15" customHeight="1">
      <c r="A33" s="65" t="s">
        <v>391</v>
      </c>
      <c r="B33" s="89">
        <v>1</v>
      </c>
      <c r="C33" s="71">
        <f t="shared" ref="C33:F34" si="28">IFERROR(C13/$B33,0)</f>
        <v>0.38519395094948383</v>
      </c>
      <c r="D33" s="71">
        <f t="shared" si="28"/>
        <v>4.4398197099907507E-4</v>
      </c>
      <c r="E33" s="71">
        <f t="shared" si="28"/>
        <v>4.1027734880117663E-2</v>
      </c>
      <c r="F33" s="71">
        <f t="shared" si="28"/>
        <v>3985.419314923176</v>
      </c>
      <c r="G33" s="70">
        <f t="shared" si="26"/>
        <v>3.7078095259522076E-2</v>
      </c>
      <c r="H33" s="70">
        <f t="shared" si="27"/>
        <v>4.4347076864160203E-4</v>
      </c>
    </row>
    <row r="34" spans="1:8" ht="15" customHeight="1">
      <c r="A34" s="65" t="s">
        <v>392</v>
      </c>
      <c r="B34" s="89">
        <v>1</v>
      </c>
      <c r="C34" s="71">
        <f t="shared" si="28"/>
        <v>42.666410715936614</v>
      </c>
      <c r="D34" s="71">
        <f t="shared" si="28"/>
        <v>1.226792288286918</v>
      </c>
      <c r="E34" s="71">
        <f t="shared" si="28"/>
        <v>113.36610953716723</v>
      </c>
      <c r="F34" s="71">
        <f t="shared" si="28"/>
        <v>511.18484343497681</v>
      </c>
      <c r="G34" s="70">
        <f t="shared" si="26"/>
        <v>29.227068115570809</v>
      </c>
      <c r="H34" s="70">
        <f t="shared" si="27"/>
        <v>1.1897286521732096</v>
      </c>
    </row>
    <row r="35" spans="1:8" ht="15" customHeight="1">
      <c r="A35" s="65" t="s">
        <v>393</v>
      </c>
      <c r="B35" s="89">
        <v>1</v>
      </c>
      <c r="C35" s="71">
        <f>IFERROR(C30/$B35,0)</f>
        <v>0.80499517092958528</v>
      </c>
      <c r="D35" s="71">
        <f>IFERROR(D30/$B35,0)</f>
        <v>5.4312357617362591E-4</v>
      </c>
      <c r="E35" s="71">
        <f>IFERROR(E30/$B35,0)</f>
        <v>5.0189267911600249E-2</v>
      </c>
      <c r="F35" s="71">
        <f>IFERROR(F30/$B35,0)</f>
        <v>202188.4736046966</v>
      </c>
      <c r="G35" s="70">
        <f t="shared" si="26"/>
        <v>4.7243737170476974E-2</v>
      </c>
      <c r="H35" s="70">
        <f t="shared" si="27"/>
        <v>5.4275738080505702E-4</v>
      </c>
    </row>
    <row r="36" spans="1:8" ht="15" customHeight="1">
      <c r="A36" s="65" t="s">
        <v>394</v>
      </c>
      <c r="B36" s="89">
        <v>1</v>
      </c>
      <c r="C36" s="71">
        <f>IFERROR(C26/$B36,0)</f>
        <v>8.2596698900991528E-2</v>
      </c>
      <c r="D36" s="71">
        <f>IFERROR(D26/$B36,0)</f>
        <v>7.4095004431633731E-5</v>
      </c>
      <c r="E36" s="71">
        <f>IFERROR(E26/$B36,0)</f>
        <v>6.8470127084699671E-3</v>
      </c>
      <c r="F36" s="71">
        <f>IFERROR(F26/$B36,0)</f>
        <v>1273.168082492992</v>
      </c>
      <c r="G36" s="70">
        <f t="shared" si="26"/>
        <v>6.3228350912110463E-3</v>
      </c>
      <c r="H36" s="70">
        <f t="shared" si="27"/>
        <v>7.4028591309525734E-5</v>
      </c>
    </row>
    <row r="37" spans="1:8" ht="15" customHeight="1">
      <c r="A37" s="65" t="s">
        <v>395</v>
      </c>
      <c r="B37" s="89">
        <v>1</v>
      </c>
      <c r="C37" s="71">
        <f>IFERROR(C22/$B37,0)</f>
        <v>0.41381277863046956</v>
      </c>
      <c r="D37" s="71">
        <f>IFERROR(D22/$B37,0)</f>
        <v>6.651810742673421E-4</v>
      </c>
      <c r="E37" s="71">
        <f>IFERROR(E22/$B37,0)</f>
        <v>6.1468425623006258E-2</v>
      </c>
      <c r="F37" s="71">
        <f>IFERROR(F22/$B37,0)</f>
        <v>8860.1526197651474</v>
      </c>
      <c r="G37" s="70">
        <f t="shared" si="26"/>
        <v>5.3518351099904736E-2</v>
      </c>
      <c r="H37" s="70">
        <f t="shared" si="27"/>
        <v>6.6411349881882438E-4</v>
      </c>
    </row>
    <row r="38" spans="1:8" ht="15" customHeight="1">
      <c r="A38" s="65" t="s">
        <v>396</v>
      </c>
      <c r="B38" s="89">
        <v>1</v>
      </c>
      <c r="C38" s="71">
        <f>IFERROR(C2/$B38,0)</f>
        <v>1.0677656153262893</v>
      </c>
      <c r="D38" s="71">
        <f>IFERROR(D2/$B38,0)</f>
        <v>6.0938701901833842E-4</v>
      </c>
      <c r="E38" s="71">
        <f>IFERROR(E2/$B38,0)</f>
        <v>5.6312577286435996E-2</v>
      </c>
      <c r="F38" s="71">
        <f>IFERROR(F2/$B38,0)</f>
        <v>7431.0440748765232</v>
      </c>
      <c r="G38" s="70">
        <f t="shared" si="26"/>
        <v>5.3491119484542139E-2</v>
      </c>
      <c r="H38" s="70">
        <f t="shared" si="27"/>
        <v>6.0903938277892468E-4</v>
      </c>
    </row>
    <row r="39" spans="1:8" ht="15" customHeight="1">
      <c r="A39" s="65" t="s">
        <v>397</v>
      </c>
      <c r="B39" s="89">
        <v>1</v>
      </c>
      <c r="C39" s="71">
        <f>IFERROR(C11/$B39,0)</f>
        <v>0</v>
      </c>
      <c r="D39" s="71">
        <f>IFERROR(D11/$B39,0)</f>
        <v>0</v>
      </c>
      <c r="E39" s="71">
        <f>IFERROR(E11/$B39,0)</f>
        <v>0</v>
      </c>
      <c r="F39" s="71">
        <f>IFERROR(F11/$B39,0)</f>
        <v>3857.271275018968</v>
      </c>
      <c r="G39" s="70">
        <f t="shared" si="26"/>
        <v>3857.271275018968</v>
      </c>
      <c r="H39" s="70">
        <f t="shared" si="27"/>
        <v>3857.271275018968</v>
      </c>
    </row>
    <row r="40" spans="1:8" ht="15" customHeight="1">
      <c r="A40" s="65" t="s">
        <v>398</v>
      </c>
      <c r="B40" s="89">
        <v>1</v>
      </c>
      <c r="C40" s="71">
        <f>IFERROR(C4/$B40,0)</f>
        <v>0</v>
      </c>
      <c r="D40" s="71">
        <f>IFERROR(D4/$B40,0)</f>
        <v>0</v>
      </c>
      <c r="E40" s="71">
        <f>IFERROR(E4/$B40,0)</f>
        <v>0</v>
      </c>
      <c r="F40" s="71">
        <f>IFERROR(F4/$B40,0)</f>
        <v>463762.58701955178</v>
      </c>
      <c r="G40" s="70">
        <f t="shared" si="26"/>
        <v>463762.58701955184</v>
      </c>
      <c r="H40" s="70">
        <f t="shared" si="27"/>
        <v>463762.58701955184</v>
      </c>
    </row>
    <row r="41" spans="1:8" ht="15" customHeight="1">
      <c r="A41" s="65" t="s">
        <v>399</v>
      </c>
      <c r="B41" s="90">
        <v>0.99987999999999999</v>
      </c>
      <c r="C41" s="71">
        <f>IFERROR(C8/$B41,0)</f>
        <v>208.18534967425771</v>
      </c>
      <c r="D41" s="71">
        <f>IFERROR(D8/$B41,0)</f>
        <v>0.157601245518148</v>
      </c>
      <c r="E41" s="71">
        <f>IFERROR(E8/$B41,0)</f>
        <v>14.56370424984752</v>
      </c>
      <c r="F41" s="71">
        <f>IFERROR(F8/$B41,0)</f>
        <v>661.75103629968635</v>
      </c>
      <c r="G41" s="70">
        <f t="shared" si="26"/>
        <v>13.337173725513983</v>
      </c>
      <c r="H41" s="70">
        <f t="shared" si="27"/>
        <v>0.15744455958605377</v>
      </c>
    </row>
    <row r="42" spans="1:8" ht="15" customHeight="1">
      <c r="A42" s="65" t="s">
        <v>400</v>
      </c>
      <c r="B42" s="89">
        <v>0.97898250799999997</v>
      </c>
      <c r="C42" s="71">
        <f>IFERROR(C19/$B42,0)</f>
        <v>0</v>
      </c>
      <c r="D42" s="71">
        <f>IFERROR(D19/$B42,0)</f>
        <v>0</v>
      </c>
      <c r="E42" s="71">
        <f>IFERROR(E19/$B42,0)</f>
        <v>0</v>
      </c>
      <c r="F42" s="71">
        <f>IFERROR(F19/$B42,0)</f>
        <v>3129540.8875301541</v>
      </c>
      <c r="G42" s="70">
        <f t="shared" si="26"/>
        <v>3129540.8875301541</v>
      </c>
      <c r="H42" s="70">
        <f t="shared" si="27"/>
        <v>3129540.8875301541</v>
      </c>
    </row>
    <row r="43" spans="1:8" ht="15" customHeight="1">
      <c r="A43" s="65" t="s">
        <v>401</v>
      </c>
      <c r="B43" s="89">
        <v>2.0897492E-2</v>
      </c>
      <c r="C43" s="71">
        <f>IFERROR(C28/$B43,0)</f>
        <v>0</v>
      </c>
      <c r="D43" s="71">
        <f>IFERROR(D28/$B43,0)</f>
        <v>0</v>
      </c>
      <c r="E43" s="71">
        <f>IFERROR(E28/$B43,0)</f>
        <v>0</v>
      </c>
      <c r="F43" s="71">
        <f>IFERROR(F28/$B43,0)</f>
        <v>2627.325497164803</v>
      </c>
      <c r="G43" s="70">
        <f t="shared" si="26"/>
        <v>2627.325497164803</v>
      </c>
      <c r="H43" s="70">
        <f t="shared" si="27"/>
        <v>2627.325497164803</v>
      </c>
    </row>
    <row r="44" spans="1:8" ht="15" customHeight="1">
      <c r="A44" s="65" t="s">
        <v>402</v>
      </c>
      <c r="B44" s="89">
        <v>0.99987999999999999</v>
      </c>
      <c r="C44" s="71">
        <f>IFERROR(C15/$B44,0)</f>
        <v>726.99645917994769</v>
      </c>
      <c r="D44" s="71">
        <f>IFERROR(D15/$B44,0)</f>
        <v>80.155361259230006</v>
      </c>
      <c r="E44" s="71">
        <f>IFERROR(E15/$B44,0)</f>
        <v>7407.0415597362035</v>
      </c>
      <c r="F44" s="71">
        <f>IFERROR(F15/$B44,0)</f>
        <v>33526.04104057642</v>
      </c>
      <c r="G44" s="70">
        <f t="shared" si="26"/>
        <v>649.20026011503239</v>
      </c>
      <c r="H44" s="70">
        <f t="shared" si="27"/>
        <v>72.040286430854508</v>
      </c>
    </row>
    <row r="45" spans="1:8">
      <c r="A45" s="63" t="s">
        <v>15</v>
      </c>
      <c r="B45" s="82" t="s">
        <v>6</v>
      </c>
      <c r="C45" s="67">
        <f>IFERROR(1/SUM(1/C46),0)</f>
        <v>3.0305700552643211</v>
      </c>
      <c r="D45" s="67">
        <f t="shared" ref="D45:E45" si="29">IFERROR(1/SUM(1/D46),0)</f>
        <v>0.13415282576950471</v>
      </c>
      <c r="E45" s="67">
        <f t="shared" si="29"/>
        <v>12.396869532121885</v>
      </c>
      <c r="F45" s="67">
        <f>IFERROR(1/SUM(1/F46,1/F47),0)</f>
        <v>198.18324045177908</v>
      </c>
      <c r="G45" s="68">
        <f>IFERROR(1/SUM(1/G46,1/G47),0)</f>
        <v>2.40568346703505</v>
      </c>
      <c r="H45" s="68">
        <f t="shared" ref="H45" si="30">IFERROR(1/SUM(1/H46,1/H47),0)</f>
        <v>0.12838285787247639</v>
      </c>
    </row>
    <row r="46" spans="1:8" ht="15" customHeight="1">
      <c r="A46" s="65" t="s">
        <v>403</v>
      </c>
      <c r="B46" s="89">
        <v>1</v>
      </c>
      <c r="C46" s="71">
        <f>IFERROR(C10/$B46,0)</f>
        <v>3.0305700552643211</v>
      </c>
      <c r="D46" s="71">
        <f>IFERROR(D10/$B46,0)</f>
        <v>0.13415282576950471</v>
      </c>
      <c r="E46" s="71">
        <f>IFERROR(E10/$B46,0)</f>
        <v>12.396869532121885</v>
      </c>
      <c r="F46" s="71">
        <f>IFERROR(F10/$B46,0)</f>
        <v>33967.85295980682</v>
      </c>
      <c r="G46" s="70">
        <f>(IF(AND(C46&lt;&gt;0,E46&lt;&gt;0,F46&lt;&gt;0),1/((1/C46)+(1/E46)+(1/F46)),IF(AND(C46&lt;&gt;0,E46&lt;&gt;0,F46=0), 1/((1/C46)+(1/E46)),IF(AND(C46&lt;&gt;0,E46=0,F46&lt;&gt;0),1/((1/C46)+(1/F46)),IF(AND(C46=0,E46&lt;&gt;0,F46&lt;&gt;0),1/((1/E46)+(1/F46)),IF(AND(C46&lt;&gt;0,E46=0,F46=0),1/(1/C46),IF(AND(C46=0,E46&lt;&gt;0,F46=0),1/(1/E46),IF(AND(C46=0,E46=0,F46&lt;&gt;0),1/(1/F46),IF(AND(C46=0,E46=0,F46=0),0)))))))))</f>
        <v>2.435069546174895</v>
      </c>
      <c r="H46" s="70">
        <f>(IF(AND(C46&lt;&gt;0,D46&lt;&gt;0,F46&lt;&gt;0),1/((1/C46)+(1/D46)+(1/F46)),IF(AND(C46&lt;&gt;0,D46&lt;&gt;0,F46=0), 1/((1/C46)+(1/D46)),IF(AND(C46&lt;&gt;0,D46=0,F46&lt;&gt;0),1/((1/C46)+(1/F46)),IF(AND(C46=0,D46&lt;&gt;0,F46&lt;&gt;0),1/((1/D46)+(1/F46)),IF(AND(C46&lt;&gt;0,D46=0,F46=0),1/(1/C46),IF(AND(C46=0,D46&lt;&gt;0,F46=0),1/(1/D46),IF(AND(C46=0,D46=0,F46&lt;&gt;0),1/(1/F46),IF(AND(C46=0,D46=0,F46=0),0)))))))))</f>
        <v>0.12846559218325021</v>
      </c>
    </row>
    <row r="47" spans="1:8" ht="15" customHeight="1">
      <c r="A47" s="65" t="s">
        <v>404</v>
      </c>
      <c r="B47" s="89">
        <v>0.94399</v>
      </c>
      <c r="C47" s="71">
        <f>IFERROR(C6/$B47,0)</f>
        <v>0</v>
      </c>
      <c r="D47" s="71">
        <f>IFERROR(D6/$B47,0)</f>
        <v>0</v>
      </c>
      <c r="E47" s="71">
        <f>IFERROR(E6/$B47,0)</f>
        <v>0</v>
      </c>
      <c r="F47" s="71">
        <f>IFERROR(F6/$B47,0)</f>
        <v>199.34631362135337</v>
      </c>
      <c r="G47" s="70">
        <f>(IF(AND(C47&lt;&gt;0,E47&lt;&gt;0,F47&lt;&gt;0),1/((1/C47)+(1/E47)+(1/F47)),IF(AND(C47&lt;&gt;0,E47&lt;&gt;0,F47=0), 1/((1/C47)+(1/E47)),IF(AND(C47&lt;&gt;0,E47=0,F47&lt;&gt;0),1/((1/C47)+(1/F47)),IF(AND(C47=0,E47&lt;&gt;0,F47&lt;&gt;0),1/((1/E47)+(1/F47)),IF(AND(C47&lt;&gt;0,E47=0,F47=0),1/(1/C47),IF(AND(C47=0,E47&lt;&gt;0,F47=0),1/(1/E47),IF(AND(C47=0,E47=0,F47&lt;&gt;0),1/(1/F47),IF(AND(C47=0,E47=0,F47=0),0)))))))))</f>
        <v>199.34631362135337</v>
      </c>
      <c r="H47" s="70">
        <f>(IF(AND(C47&lt;&gt;0,D47&lt;&gt;0,F47&lt;&gt;0),1/((1/C47)+(1/D47)+(1/F47)),IF(AND(C47&lt;&gt;0,D47&lt;&gt;0,F47=0), 1/((1/C47)+(1/D47)),IF(AND(C47&lt;&gt;0,D47=0,F47&lt;&gt;0),1/((1/C47)+(1/F47)),IF(AND(C47=0,D47&lt;&gt;0,F47&lt;&gt;0),1/((1/D47)+(1/F47)),IF(AND(C47&lt;&gt;0,D47=0,F47=0),1/(1/C47),IF(AND(C47=0,D47&lt;&gt;0,F47=0),1/(1/D47),IF(AND(C47=0,D47=0,F47&lt;&gt;0),1/(1/F47),IF(AND(C47=0,D47=0,F47=0),0)))))))))</f>
        <v>199.34631362135337</v>
      </c>
    </row>
    <row r="48" spans="1:8">
      <c r="A48" s="63" t="s">
        <v>28</v>
      </c>
      <c r="B48" s="82" t="s">
        <v>6</v>
      </c>
      <c r="C48" s="67">
        <f>IFERROR(1/SUM(1/C49,1/C52,1/C54,1/C58,1/C59,1/C61),0)</f>
        <v>1.8840961818114118E-2</v>
      </c>
      <c r="D48" s="67">
        <f>IFERROR(1/SUM(1/D49,1/D50,1/D51,1/D52,1/D54,1/D58,1/D59,1/D61),0)</f>
        <v>2.6409640207644561E-4</v>
      </c>
      <c r="E48" s="67">
        <f>IFERROR(1/SUM(1/E49,1/E50,1/E51,1/E52,1/E54,1/E58,1/E59,1/E61),0)</f>
        <v>2.4404768380128526E-2</v>
      </c>
      <c r="F48" s="67">
        <f>IFERROR(1/SUM(1/F49,1/F50,1/F51,1/F52,1/F53,1/F54,1/F55,1/F56,1/F57,1/F58,1/F59,1/F60,1/F61,1/F62),0)</f>
        <v>64.601481711767576</v>
      </c>
      <c r="G48" s="68">
        <f t="shared" ref="G48:H48" si="31">IFERROR(1/SUM(1/G49,1/G50,1/G51,1/G52,1/G53,1/G54,1/G55,1/G56,1/G57,1/G58,1/G59,1/G60,1/G61,1/G62),0)</f>
        <v>1.0630729127433396E-2</v>
      </c>
      <c r="H48" s="68">
        <f t="shared" si="31"/>
        <v>2.6044464822487675E-4</v>
      </c>
    </row>
    <row r="49" spans="1:8" ht="15" customHeight="1">
      <c r="A49" s="65" t="s">
        <v>405</v>
      </c>
      <c r="B49" s="89">
        <v>1</v>
      </c>
      <c r="C49" s="71">
        <f>IFERROR(C23/$B49,0)</f>
        <v>0.14719911696998131</v>
      </c>
      <c r="D49" s="71">
        <f>IFERROR(D23/$B49,0)</f>
        <v>5.4312357617362591E-4</v>
      </c>
      <c r="E49" s="71">
        <f>IFERROR(E23/$B49,0)</f>
        <v>5.0189267911600249E-2</v>
      </c>
      <c r="F49" s="71">
        <f>IFERROR(F23/$B49,0)</f>
        <v>15526.466762655877</v>
      </c>
      <c r="G49" s="70">
        <f t="shared" ref="G49:G62" si="32">(IF(AND(C49&lt;&gt;0,E49&lt;&gt;0,F49&lt;&gt;0),1/((1/C49)+(1/E49)+(1/F49)),IF(AND(C49&lt;&gt;0,E49&lt;&gt;0,F49=0), 1/((1/C49)+(1/E49)),IF(AND(C49&lt;&gt;0,E49=0,F49&lt;&gt;0),1/((1/C49)+(1/F49)),IF(AND(C49=0,E49&lt;&gt;0,F49&lt;&gt;0),1/((1/E49)+(1/F49)),IF(AND(C49&lt;&gt;0,E49=0,F49=0),1/(1/C49),IF(AND(C49=0,E49&lt;&gt;0,F49=0),1/(1/E49),IF(AND(C49=0,E49=0,F49&lt;&gt;0),1/(1/F49),IF(AND(C49=0,E49=0,F49=0),0)))))))))</f>
        <v>3.7427724602435181E-2</v>
      </c>
      <c r="H49" s="70">
        <f t="shared" ref="H49:H62" si="33">(IF(AND(C49&lt;&gt;0,D49&lt;&gt;0,F49&lt;&gt;0),1/((1/C49)+(1/D49)+(1/F49)),IF(AND(C49&lt;&gt;0,D49&lt;&gt;0,F49=0), 1/((1/C49)+(1/D49)),IF(AND(C49&lt;&gt;0,D49=0,F49&lt;&gt;0),1/((1/C49)+(1/F49)),IF(AND(C49=0,D49&lt;&gt;0,F49&lt;&gt;0),1/((1/D49)+(1/F49)),IF(AND(C49&lt;&gt;0,D49=0,F49=0),1/(1/C49),IF(AND(C49=0,D49&lt;&gt;0,F49=0),1/(1/D49),IF(AND(C49=0,D49=0,F49&lt;&gt;0),1/(1/F49),IF(AND(C49=0,D49=0,F49=0),0)))))))))</f>
        <v>5.411269501293662E-4</v>
      </c>
    </row>
    <row r="50" spans="1:8" ht="15" customHeight="1">
      <c r="A50" s="65" t="s">
        <v>406</v>
      </c>
      <c r="B50" s="89">
        <v>1</v>
      </c>
      <c r="C50" s="71">
        <f>IFERROR(C25/$B50,0)</f>
        <v>0</v>
      </c>
      <c r="D50" s="71">
        <f>IFERROR(D25/$B50,0)</f>
        <v>3.1600670974010505</v>
      </c>
      <c r="E50" s="71">
        <f>IFERROR(E25/$B50,0)</f>
        <v>292.01725192535656</v>
      </c>
      <c r="F50" s="71">
        <f>IFERROR(F25/$B50,0)</f>
        <v>293563.92434827337</v>
      </c>
      <c r="G50" s="70">
        <f t="shared" si="32"/>
        <v>291.72706185821801</v>
      </c>
      <c r="H50" s="70">
        <f t="shared" si="33"/>
        <v>3.1600330812439599</v>
      </c>
    </row>
    <row r="51" spans="1:8" ht="15" customHeight="1">
      <c r="A51" s="65" t="s">
        <v>407</v>
      </c>
      <c r="B51" s="89">
        <v>1</v>
      </c>
      <c r="C51" s="71">
        <f>IFERROR(C21/$B51,0)</f>
        <v>0</v>
      </c>
      <c r="D51" s="71">
        <f>IFERROR(D21/$B51,0)</f>
        <v>2.7163306414667829</v>
      </c>
      <c r="E51" s="71">
        <f>IFERROR(E21/$B51,0)</f>
        <v>251.01220473898763</v>
      </c>
      <c r="F51" s="71">
        <f>IFERROR(F21/$B51,0)</f>
        <v>16080486789.613297</v>
      </c>
      <c r="G51" s="70">
        <f t="shared" si="32"/>
        <v>251.01220082075267</v>
      </c>
      <c r="H51" s="70">
        <f t="shared" si="33"/>
        <v>2.7163306410079375</v>
      </c>
    </row>
    <row r="52" spans="1:8" ht="15" customHeight="1">
      <c r="A52" s="65" t="s">
        <v>408</v>
      </c>
      <c r="B52" s="89">
        <v>0.99980000000000002</v>
      </c>
      <c r="C52" s="71">
        <f>IFERROR(C17/$B52,0)</f>
        <v>296.57552195039557</v>
      </c>
      <c r="D52" s="71">
        <f>IFERROR(D17/$B52,0)</f>
        <v>0.44426137347591588</v>
      </c>
      <c r="E52" s="71">
        <f>IFERROR(E17/$B52,0)</f>
        <v>41.053554060835467</v>
      </c>
      <c r="F52" s="71">
        <f>IFERROR(F17/$B52,0)</f>
        <v>439.32802281848444</v>
      </c>
      <c r="G52" s="70">
        <f t="shared" si="32"/>
        <v>33.326164891036562</v>
      </c>
      <c r="H52" s="70">
        <f t="shared" si="33"/>
        <v>0.44314942304180671</v>
      </c>
    </row>
    <row r="53" spans="1:8" ht="15" customHeight="1">
      <c r="A53" s="65" t="s">
        <v>409</v>
      </c>
      <c r="B53" s="89">
        <v>2.0000000000000001E-4</v>
      </c>
      <c r="C53" s="71">
        <f>IFERROR(C5/$B53,0)</f>
        <v>0</v>
      </c>
      <c r="D53" s="71">
        <f>IFERROR(D5/$B53,0)</f>
        <v>0</v>
      </c>
      <c r="E53" s="71">
        <f>IFERROR(E5/$B53,0)</f>
        <v>0</v>
      </c>
      <c r="F53" s="71">
        <f>IFERROR(F5/$B53,0)</f>
        <v>4277409486.037138</v>
      </c>
      <c r="G53" s="70">
        <f t="shared" si="32"/>
        <v>4277409486.037138</v>
      </c>
      <c r="H53" s="70">
        <f t="shared" si="33"/>
        <v>4277409486.037138</v>
      </c>
    </row>
    <row r="54" spans="1:8" ht="15" customHeight="1">
      <c r="A54" s="65" t="s">
        <v>410</v>
      </c>
      <c r="B54" s="89">
        <v>0.99999979999999999</v>
      </c>
      <c r="C54" s="71">
        <f>IFERROR(C9/$B54,0)</f>
        <v>367.9978660245265</v>
      </c>
      <c r="D54" s="71">
        <f>IFERROR(D9/$B54,0)</f>
        <v>0.56553124665753041</v>
      </c>
      <c r="E54" s="71">
        <f>IFERROR(E9/$B54,0)</f>
        <v>52.259928487807706</v>
      </c>
      <c r="F54" s="71">
        <f>IFERROR(F9/$B54,0)</f>
        <v>78.27635469255047</v>
      </c>
      <c r="G54" s="70">
        <f t="shared" si="32"/>
        <v>28.878550299673922</v>
      </c>
      <c r="H54" s="70">
        <f t="shared" si="33"/>
        <v>0.56061933457726476</v>
      </c>
    </row>
    <row r="55" spans="1:8" ht="15" customHeight="1">
      <c r="A55" s="65" t="s">
        <v>411</v>
      </c>
      <c r="B55" s="89">
        <v>1.9999999999999999E-7</v>
      </c>
      <c r="C55" s="71">
        <f>IFERROR(C24/$B55,0)</f>
        <v>0</v>
      </c>
      <c r="D55" s="71">
        <f>IFERROR(D24/$B55,0)</f>
        <v>0</v>
      </c>
      <c r="E55" s="71">
        <f>IFERROR(E24/$B55,0)</f>
        <v>0</v>
      </c>
      <c r="F55" s="71">
        <f>IFERROR(F24/$B55,0)</f>
        <v>750108066439.52332</v>
      </c>
      <c r="G55" s="70">
        <f t="shared" si="32"/>
        <v>750108066439.52332</v>
      </c>
      <c r="H55" s="70">
        <f t="shared" si="33"/>
        <v>750108066439.52332</v>
      </c>
    </row>
    <row r="56" spans="1:8" ht="15" customHeight="1">
      <c r="A56" s="65" t="s">
        <v>412</v>
      </c>
      <c r="B56" s="89">
        <v>0.99979000004200003</v>
      </c>
      <c r="C56" s="71">
        <f>IFERROR(C20/$B56,0)</f>
        <v>0</v>
      </c>
      <c r="D56" s="71">
        <f>IFERROR(D20/$B56,0)</f>
        <v>0</v>
      </c>
      <c r="E56" s="71">
        <f>IFERROR(E20/$B56,0)</f>
        <v>0</v>
      </c>
      <c r="F56" s="71">
        <f>IFERROR(F20/$B56,0)</f>
        <v>1391195.7215954643</v>
      </c>
      <c r="G56" s="70">
        <f t="shared" si="32"/>
        <v>1391195.7215954643</v>
      </c>
      <c r="H56" s="70">
        <f t="shared" si="33"/>
        <v>1391195.7215954643</v>
      </c>
    </row>
    <row r="57" spans="1:8" ht="15" customHeight="1">
      <c r="A57" s="65" t="s">
        <v>413</v>
      </c>
      <c r="B57" s="89">
        <v>2.0999995799999999E-4</v>
      </c>
      <c r="C57" s="71">
        <f>IFERROR(C29/$B57,0)</f>
        <v>0</v>
      </c>
      <c r="D57" s="71">
        <f>IFERROR(D29/$B57,0)</f>
        <v>0</v>
      </c>
      <c r="E57" s="71">
        <f>IFERROR(E29/$B57,0)</f>
        <v>0</v>
      </c>
      <c r="F57" s="71">
        <f>IFERROR(F29/$B57,0)</f>
        <v>198846.55513260767</v>
      </c>
      <c r="G57" s="70">
        <f t="shared" si="32"/>
        <v>198846.55513260764</v>
      </c>
      <c r="H57" s="70">
        <f t="shared" si="33"/>
        <v>198846.55513260764</v>
      </c>
    </row>
    <row r="58" spans="1:8" ht="15" customHeight="1">
      <c r="A58" s="65" t="s">
        <v>414</v>
      </c>
      <c r="B58" s="89">
        <v>1</v>
      </c>
      <c r="C58" s="71">
        <f>IFERROR(C16/$B58,0)</f>
        <v>5.9218035562636162E-2</v>
      </c>
      <c r="D58" s="71">
        <f>IFERROR(D16/$B58,0)</f>
        <v>9.2772352149060459E-4</v>
      </c>
      <c r="E58" s="71">
        <f>IFERROR(E16/$B58,0)</f>
        <v>8.5729595271887643E-2</v>
      </c>
      <c r="F58" s="71">
        <f>IFERROR(F16/$B58,0)</f>
        <v>44351.0200165141</v>
      </c>
      <c r="G58" s="70">
        <f t="shared" si="32"/>
        <v>3.5024609806881692E-2</v>
      </c>
      <c r="H58" s="70">
        <f t="shared" si="33"/>
        <v>9.1341375008052012E-4</v>
      </c>
    </row>
    <row r="59" spans="1:8" ht="15" customHeight="1">
      <c r="A59" s="65" t="s">
        <v>415</v>
      </c>
      <c r="B59" s="89">
        <v>1</v>
      </c>
      <c r="C59" s="71">
        <f>IFERROR(C7/$B59,0)</f>
        <v>31.462406680606691</v>
      </c>
      <c r="D59" s="71">
        <f>IFERROR(D7/$B59,0)</f>
        <v>3.8316252291700999E-2</v>
      </c>
      <c r="E59" s="71">
        <f>IFERROR(E7/$B59,0)</f>
        <v>3.5407497225307019</v>
      </c>
      <c r="F59" s="71">
        <f>IFERROR(F7/$B59,0)</f>
        <v>3013.1895289340168</v>
      </c>
      <c r="G59" s="70">
        <f t="shared" si="32"/>
        <v>3.1792266783717049</v>
      </c>
      <c r="H59" s="70">
        <f t="shared" si="33"/>
        <v>3.8269159849495395E-2</v>
      </c>
    </row>
    <row r="60" spans="1:8" ht="15" customHeight="1">
      <c r="A60" s="65" t="s">
        <v>416</v>
      </c>
      <c r="B60" s="91">
        <v>1.9000000000000001E-8</v>
      </c>
      <c r="C60" s="71">
        <f>IFERROR(C12/$B60,0)</f>
        <v>0</v>
      </c>
      <c r="D60" s="71">
        <f>IFERROR(D12/$B60,0)</f>
        <v>0</v>
      </c>
      <c r="E60" s="71">
        <f>IFERROR(E12/$B60,0)</f>
        <v>0</v>
      </c>
      <c r="F60" s="71">
        <f>IFERROR(F12/$B60,0)</f>
        <v>37695867881.691757</v>
      </c>
      <c r="G60" s="70">
        <f t="shared" si="32"/>
        <v>37695867881.691757</v>
      </c>
      <c r="H60" s="70">
        <f t="shared" si="33"/>
        <v>37695867881.691757</v>
      </c>
    </row>
    <row r="61" spans="1:8" ht="15" customHeight="1">
      <c r="A61" s="65" t="s">
        <v>417</v>
      </c>
      <c r="B61" s="89">
        <v>1</v>
      </c>
      <c r="C61" s="71">
        <f>IFERROR(C18/$B61,0)</f>
        <v>3.4062605579830388E-2</v>
      </c>
      <c r="D61" s="71">
        <f>IFERROR(D18/$B61,0)</f>
        <v>1.1953360757667405E-3</v>
      </c>
      <c r="E61" s="71">
        <f>IFERROR(E18/$B61,0)</f>
        <v>0.11045928621570139</v>
      </c>
      <c r="F61" s="71">
        <f>IFERROR(F18/$B61,0)</f>
        <v>11843528.059223883</v>
      </c>
      <c r="G61" s="70">
        <f t="shared" si="32"/>
        <v>2.6034333234770168E-2</v>
      </c>
      <c r="H61" s="70">
        <f t="shared" si="33"/>
        <v>1.1548110686078873E-3</v>
      </c>
    </row>
    <row r="62" spans="1:8" ht="15" customHeight="1">
      <c r="A62" s="65" t="s">
        <v>418</v>
      </c>
      <c r="B62" s="89">
        <v>1.339E-6</v>
      </c>
      <c r="C62" s="71">
        <f>IFERROR(C27/$B62,0)</f>
        <v>0</v>
      </c>
      <c r="D62" s="71">
        <f>IFERROR(D27/$B62,0)</f>
        <v>0</v>
      </c>
      <c r="E62" s="71">
        <f>IFERROR(E27/$B62,0)</f>
        <v>0</v>
      </c>
      <c r="F62" s="71">
        <f>IFERROR(F27/$B62,0)</f>
        <v>1246714702.9109423</v>
      </c>
      <c r="G62" s="70">
        <f t="shared" si="32"/>
        <v>1246714702.9109423</v>
      </c>
      <c r="H62" s="70">
        <f t="shared" si="33"/>
        <v>1246714702.9109423</v>
      </c>
    </row>
    <row r="63" spans="1:8">
      <c r="A63" s="63" t="s">
        <v>30</v>
      </c>
      <c r="B63" s="82" t="s">
        <v>6</v>
      </c>
      <c r="C63" s="67">
        <f>IFERROR(1/SUM(1/C66,1/C68,1/C72,1/C73,1/C75),0)</f>
        <v>2.1606519190075696E-2</v>
      </c>
      <c r="D63" s="67">
        <f>IFERROR(1/SUM(1/D64,1/D65,1/D66,1/D68,1/D72,1/D73,1/D75),0)</f>
        <v>5.1406097923777973E-4</v>
      </c>
      <c r="E63" s="67">
        <f t="shared" ref="E63" si="34">IFERROR(1/SUM(1/E64,1/E65,1/E66,1/E68,1/E72,1/E73,1/E75),0)</f>
        <v>4.7503635160953947E-2</v>
      </c>
      <c r="F63" s="67">
        <f>IFERROR(1/SUM(1/F64,1/F65,1/F66,1/F67,1/F68,1/F69,1/F70,1/F71,1/F72,1/F73,1/F74,1/F75,1/F76),0)</f>
        <v>64.871394258767921</v>
      </c>
      <c r="G63" s="68">
        <f t="shared" ref="G63:H63" si="35">IFERROR(1/SUM(1/G64,1/G65,1/G66,1/G67,1/G68,1/G69,1/G70,1/G71,1/G72,1/G73,1/G74,1/G75,1/G76),0)</f>
        <v>1.4848082594775923E-2</v>
      </c>
      <c r="H63" s="68">
        <f t="shared" si="35"/>
        <v>5.0211081074645083E-4</v>
      </c>
    </row>
    <row r="64" spans="1:8" ht="15" customHeight="1">
      <c r="A64" s="65" t="s">
        <v>406</v>
      </c>
      <c r="B64" s="89">
        <v>1</v>
      </c>
      <c r="C64" s="72">
        <f>IFERROR(C25/$B64,0)</f>
        <v>0</v>
      </c>
      <c r="D64" s="72">
        <f>IFERROR(D25/$B64,0)</f>
        <v>3.1600670974010505</v>
      </c>
      <c r="E64" s="72">
        <f>IFERROR(E25/$B64,0)</f>
        <v>292.01725192535656</v>
      </c>
      <c r="F64" s="72">
        <f>IFERROR(F25/$B64,0)</f>
        <v>293563.92434827337</v>
      </c>
      <c r="G64" s="70">
        <f t="shared" ref="G64:G76" si="36">(IF(AND(C64&lt;&gt;0,E64&lt;&gt;0,F64&lt;&gt;0),1/((1/C64)+(1/E64)+(1/F64)),IF(AND(C64&lt;&gt;0,E64&lt;&gt;0,F64=0), 1/((1/C64)+(1/E64)),IF(AND(C64&lt;&gt;0,E64=0,F64&lt;&gt;0),1/((1/C64)+(1/F64)),IF(AND(C64=0,E64&lt;&gt;0,F64&lt;&gt;0),1/((1/E64)+(1/F64)),IF(AND(C64&lt;&gt;0,E64=0,F64=0),1/(1/C64),IF(AND(C64=0,E64&lt;&gt;0,F64=0),1/(1/E64),IF(AND(C64=0,E64=0,F64&lt;&gt;0),1/(1/F64),IF(AND(C64=0,E64=0,F64=0),0)))))))))</f>
        <v>291.72706185821801</v>
      </c>
      <c r="H64" s="70">
        <f t="shared" ref="H64:H76" si="37">(IF(AND(C64&lt;&gt;0,D64&lt;&gt;0,F64&lt;&gt;0),1/((1/C64)+(1/D64)+(1/F64)),IF(AND(C64&lt;&gt;0,D64&lt;&gt;0,F64=0), 1/((1/C64)+(1/D64)),IF(AND(C64&lt;&gt;0,D64=0,F64&lt;&gt;0),1/((1/C64)+(1/F64)),IF(AND(C64=0,D64&lt;&gt;0,F64&lt;&gt;0),1/((1/D64)+(1/F64)),IF(AND(C64&lt;&gt;0,D64=0,F64=0),1/(1/C64),IF(AND(C64=0,D64&lt;&gt;0,F64=0),1/(1/D64),IF(AND(C64=0,D64=0,F64&lt;&gt;0),1/(1/F64),IF(AND(C64=0,D64=0,F64=0),0)))))))))</f>
        <v>3.1600330812439599</v>
      </c>
    </row>
    <row r="65" spans="1:8" ht="15" customHeight="1">
      <c r="A65" s="65" t="s">
        <v>407</v>
      </c>
      <c r="B65" s="89">
        <v>1</v>
      </c>
      <c r="C65" s="72">
        <f>IFERROR(C21/$B65,0)</f>
        <v>0</v>
      </c>
      <c r="D65" s="72">
        <f>IFERROR(D21/$B65,0)</f>
        <v>2.7163306414667829</v>
      </c>
      <c r="E65" s="72">
        <f>IFERROR(E21/$B65,0)</f>
        <v>251.01220473898763</v>
      </c>
      <c r="F65" s="72">
        <f>IFERROR(F21/$B65,0)</f>
        <v>16080486789.613297</v>
      </c>
      <c r="G65" s="70">
        <f t="shared" si="36"/>
        <v>251.01220082075267</v>
      </c>
      <c r="H65" s="70">
        <f t="shared" si="37"/>
        <v>2.7163306410079375</v>
      </c>
    </row>
    <row r="66" spans="1:8" ht="15" customHeight="1">
      <c r="A66" s="65" t="s">
        <v>408</v>
      </c>
      <c r="B66" s="89">
        <v>0.99980000000000002</v>
      </c>
      <c r="C66" s="72">
        <f>IFERROR(C17/$B66,0)</f>
        <v>296.57552195039557</v>
      </c>
      <c r="D66" s="72">
        <f>IFERROR(D17/$B66,0)</f>
        <v>0.44426137347591588</v>
      </c>
      <c r="E66" s="72">
        <f>IFERROR(E17/$B66,0)</f>
        <v>41.053554060835467</v>
      </c>
      <c r="F66" s="72">
        <f>IFERROR(F17/$B66,0)</f>
        <v>439.32802281848444</v>
      </c>
      <c r="G66" s="70">
        <f t="shared" si="36"/>
        <v>33.326164891036562</v>
      </c>
      <c r="H66" s="70">
        <f t="shared" si="37"/>
        <v>0.44314942304180671</v>
      </c>
    </row>
    <row r="67" spans="1:8" ht="15" customHeight="1">
      <c r="A67" s="65" t="s">
        <v>409</v>
      </c>
      <c r="B67" s="89">
        <v>2.0000000000000001E-4</v>
      </c>
      <c r="C67" s="72">
        <f>IFERROR(C5/$B67,0)</f>
        <v>0</v>
      </c>
      <c r="D67" s="72">
        <f>IFERROR(D5/$B67,0)</f>
        <v>0</v>
      </c>
      <c r="E67" s="72">
        <f>IFERROR(E5/$B67,0)</f>
        <v>0</v>
      </c>
      <c r="F67" s="72">
        <f>IFERROR(F5/$B67,0)</f>
        <v>4277409486.037138</v>
      </c>
      <c r="G67" s="70">
        <f t="shared" si="36"/>
        <v>4277409486.037138</v>
      </c>
      <c r="H67" s="70">
        <f t="shared" si="37"/>
        <v>4277409486.037138</v>
      </c>
    </row>
    <row r="68" spans="1:8" ht="15" customHeight="1">
      <c r="A68" s="65" t="s">
        <v>410</v>
      </c>
      <c r="B68" s="89">
        <v>0.99999979999999999</v>
      </c>
      <c r="C68" s="72">
        <f>IFERROR(C9/$B68,0)</f>
        <v>367.9978660245265</v>
      </c>
      <c r="D68" s="72">
        <f>IFERROR(D9/$B68,0)</f>
        <v>0.56553124665753041</v>
      </c>
      <c r="E68" s="72">
        <f>IFERROR(E9/$B68,0)</f>
        <v>52.259928487807706</v>
      </c>
      <c r="F68" s="72">
        <f>IFERROR(F9/$B68,0)</f>
        <v>78.27635469255047</v>
      </c>
      <c r="G68" s="70">
        <f t="shared" si="36"/>
        <v>28.878550299673922</v>
      </c>
      <c r="H68" s="70">
        <f t="shared" si="37"/>
        <v>0.56061933457726476</v>
      </c>
    </row>
    <row r="69" spans="1:8" ht="15" customHeight="1">
      <c r="A69" s="65" t="s">
        <v>411</v>
      </c>
      <c r="B69" s="89">
        <v>1.9999999999999999E-7</v>
      </c>
      <c r="C69" s="72">
        <f>IFERROR(C24/$B69,0)</f>
        <v>0</v>
      </c>
      <c r="D69" s="72">
        <f>IFERROR(D24/$B69,0)</f>
        <v>0</v>
      </c>
      <c r="E69" s="72">
        <f>IFERROR(E24/$B69,0)</f>
        <v>0</v>
      </c>
      <c r="F69" s="72">
        <f>IFERROR(F24/$B69,0)</f>
        <v>750108066439.52332</v>
      </c>
      <c r="G69" s="70">
        <f t="shared" si="36"/>
        <v>750108066439.52332</v>
      </c>
      <c r="H69" s="70">
        <f t="shared" si="37"/>
        <v>750108066439.52332</v>
      </c>
    </row>
    <row r="70" spans="1:8" ht="15" customHeight="1">
      <c r="A70" s="65" t="s">
        <v>412</v>
      </c>
      <c r="B70" s="89">
        <v>0.99979000004200003</v>
      </c>
      <c r="C70" s="72">
        <f>IFERROR(C20/$B70,0)</f>
        <v>0</v>
      </c>
      <c r="D70" s="72">
        <f>IFERROR(D20/$B70,0)</f>
        <v>0</v>
      </c>
      <c r="E70" s="72">
        <f>IFERROR(E20/$B70,0)</f>
        <v>0</v>
      </c>
      <c r="F70" s="72">
        <f>IFERROR(F20/$B70,0)</f>
        <v>1391195.7215954643</v>
      </c>
      <c r="G70" s="70">
        <f t="shared" si="36"/>
        <v>1391195.7215954643</v>
      </c>
      <c r="H70" s="70">
        <f t="shared" si="37"/>
        <v>1391195.7215954643</v>
      </c>
    </row>
    <row r="71" spans="1:8" ht="15" customHeight="1">
      <c r="A71" s="65" t="s">
        <v>413</v>
      </c>
      <c r="B71" s="89">
        <v>2.0999995799999999E-4</v>
      </c>
      <c r="C71" s="72">
        <f>IFERROR(C29/$B71,0)</f>
        <v>0</v>
      </c>
      <c r="D71" s="72">
        <f>IFERROR(D29/$B71,0)</f>
        <v>0</v>
      </c>
      <c r="E71" s="72">
        <f>IFERROR(E29/$B71,0)</f>
        <v>0</v>
      </c>
      <c r="F71" s="72">
        <f>IFERROR(F29/$B71,0)</f>
        <v>198846.55513260767</v>
      </c>
      <c r="G71" s="70">
        <f t="shared" si="36"/>
        <v>198846.55513260764</v>
      </c>
      <c r="H71" s="70">
        <f t="shared" si="37"/>
        <v>198846.55513260764</v>
      </c>
    </row>
    <row r="72" spans="1:8" ht="15" customHeight="1">
      <c r="A72" s="65" t="s">
        <v>414</v>
      </c>
      <c r="B72" s="89">
        <v>1</v>
      </c>
      <c r="C72" s="72">
        <f>IFERROR(C16/$B72,0)</f>
        <v>5.9218035562636162E-2</v>
      </c>
      <c r="D72" s="72">
        <f>IFERROR(D16/$B72,0)</f>
        <v>9.2772352149060459E-4</v>
      </c>
      <c r="E72" s="72">
        <f>IFERROR(E16/$B72,0)</f>
        <v>8.5729595271887643E-2</v>
      </c>
      <c r="F72" s="72">
        <f>IFERROR(F16/$B72,0)</f>
        <v>44351.0200165141</v>
      </c>
      <c r="G72" s="70">
        <f t="shared" si="36"/>
        <v>3.5024609806881692E-2</v>
      </c>
      <c r="H72" s="70">
        <f t="shared" si="37"/>
        <v>9.1341375008052012E-4</v>
      </c>
    </row>
    <row r="73" spans="1:8" ht="15" customHeight="1">
      <c r="A73" s="65" t="s">
        <v>415</v>
      </c>
      <c r="B73" s="89">
        <v>1</v>
      </c>
      <c r="C73" s="72">
        <f>IFERROR(C7/$B73,0)</f>
        <v>31.462406680606691</v>
      </c>
      <c r="D73" s="72">
        <f>IFERROR(D7/$B73,0)</f>
        <v>3.8316252291700999E-2</v>
      </c>
      <c r="E73" s="72">
        <f>IFERROR(E7/$B73,0)</f>
        <v>3.5407497225307019</v>
      </c>
      <c r="F73" s="72">
        <f>IFERROR(F7/$B73,0)</f>
        <v>3013.1895289340168</v>
      </c>
      <c r="G73" s="70">
        <f t="shared" si="36"/>
        <v>3.1792266783717049</v>
      </c>
      <c r="H73" s="70">
        <f t="shared" si="37"/>
        <v>3.8269159849495395E-2</v>
      </c>
    </row>
    <row r="74" spans="1:8" ht="15" customHeight="1">
      <c r="A74" s="65" t="s">
        <v>416</v>
      </c>
      <c r="B74" s="91">
        <v>1.9000000000000001E-8</v>
      </c>
      <c r="C74" s="72">
        <f>IFERROR(C12/$B74,0)</f>
        <v>0</v>
      </c>
      <c r="D74" s="72">
        <f>IFERROR(D12/$B74,0)</f>
        <v>0</v>
      </c>
      <c r="E74" s="72">
        <f>IFERROR(E12/$B74,0)</f>
        <v>0</v>
      </c>
      <c r="F74" s="72">
        <f>IFERROR(F12/$B74,0)</f>
        <v>37695867881.691757</v>
      </c>
      <c r="G74" s="70">
        <f t="shared" si="36"/>
        <v>37695867881.691757</v>
      </c>
      <c r="H74" s="70">
        <f t="shared" si="37"/>
        <v>37695867881.691757</v>
      </c>
    </row>
    <row r="75" spans="1:8" ht="15" customHeight="1">
      <c r="A75" s="65" t="s">
        <v>417</v>
      </c>
      <c r="B75" s="89">
        <v>1</v>
      </c>
      <c r="C75" s="72">
        <f>IFERROR(C18/$B75,0)</f>
        <v>3.4062605579830388E-2</v>
      </c>
      <c r="D75" s="72">
        <f>IFERROR(D18/$B75,0)</f>
        <v>1.1953360757667405E-3</v>
      </c>
      <c r="E75" s="72">
        <f>IFERROR(E18/$B75,0)</f>
        <v>0.11045928621570139</v>
      </c>
      <c r="F75" s="72">
        <f>IFERROR(F18/$B75,0)</f>
        <v>11843528.059223883</v>
      </c>
      <c r="G75" s="70">
        <f t="shared" si="36"/>
        <v>2.6034333234770168E-2</v>
      </c>
      <c r="H75" s="70">
        <f t="shared" si="37"/>
        <v>1.1548110686078873E-3</v>
      </c>
    </row>
    <row r="76" spans="1:8" ht="15" customHeight="1">
      <c r="A76" s="65" t="s">
        <v>418</v>
      </c>
      <c r="B76" s="89">
        <v>1.339E-6</v>
      </c>
      <c r="C76" s="72">
        <f>IFERROR(C27/$B76,0)</f>
        <v>0</v>
      </c>
      <c r="D76" s="72">
        <f>IFERROR(D27/$B76,0)</f>
        <v>0</v>
      </c>
      <c r="E76" s="72">
        <f>IFERROR(E27/$B76,0)</f>
        <v>0</v>
      </c>
      <c r="F76" s="72">
        <f>IFERROR(F27/$B76,0)</f>
        <v>1246714702.9109423</v>
      </c>
      <c r="G76" s="70">
        <f t="shared" si="36"/>
        <v>1246714702.9109423</v>
      </c>
      <c r="H76" s="70">
        <f t="shared" si="37"/>
        <v>1246714702.9109423</v>
      </c>
    </row>
  </sheetData>
  <sheetProtection algorithmName="SHA-512" hashValue="3qy+M+3RlOFu3XE5O1gwig6E7AO2PmpvhF/DQORkKB74I6ZMEdEwMH7WRZpey7NxrhTaDG1UMFGcx3G0BQo+NQ==" saltValue="zX6GlUhKS5RTEO+XZB0JVg==" spinCount="100000" sheet="1" objects="1" scenarios="1"/>
  <autoFilter ref="A1:H76" xr:uid="{00000000-0009-0000-0000-00000B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sheetPr>
  <dimension ref="A1:H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4.86328125" style="4" bestFit="1" customWidth="1"/>
    <col min="4" max="4" width="17.86328125" style="4" bestFit="1" customWidth="1"/>
    <col min="5" max="5" width="17.73046875" style="4" bestFit="1" customWidth="1"/>
    <col min="6" max="6" width="15" style="4" bestFit="1" customWidth="1"/>
    <col min="7" max="7" width="16.59765625" style="4" bestFit="1" customWidth="1"/>
    <col min="8" max="8" width="16.3984375" style="4" bestFit="1" customWidth="1"/>
    <col min="9" max="245" width="9.1328125" style="4"/>
    <col min="246" max="246" width="15.3984375" style="4" bestFit="1" customWidth="1"/>
    <col min="247" max="247" width="11.1328125" style="4" bestFit="1" customWidth="1"/>
    <col min="248" max="248" width="14.59765625" style="4" bestFit="1" customWidth="1"/>
    <col min="249" max="249" width="17.3984375" style="4" bestFit="1" customWidth="1"/>
    <col min="250" max="250" width="17.59765625" style="4" bestFit="1" customWidth="1"/>
    <col min="251" max="251" width="14.73046875" style="4" bestFit="1" customWidth="1"/>
    <col min="252" max="252" width="14.3984375" style="4" bestFit="1" customWidth="1"/>
    <col min="253" max="253" width="12.1328125" style="4" bestFit="1" customWidth="1"/>
    <col min="254" max="254" width="12.3984375" style="4" bestFit="1" customWidth="1"/>
    <col min="255" max="256" width="13.86328125" style="4" bestFit="1" customWidth="1"/>
    <col min="257" max="257" width="14.86328125" style="4" bestFit="1" customWidth="1"/>
    <col min="258" max="258" width="12.1328125" style="4" bestFit="1" customWidth="1"/>
    <col min="259" max="259" width="12.3984375" style="4" bestFit="1" customWidth="1"/>
    <col min="260" max="261" width="13.86328125" style="4" bestFit="1" customWidth="1"/>
    <col min="262" max="262" width="14.86328125" style="4" bestFit="1" customWidth="1"/>
    <col min="263" max="501" width="9.1328125" style="4"/>
    <col min="502" max="502" width="15.3984375" style="4" bestFit="1" customWidth="1"/>
    <col min="503" max="503" width="11.1328125" style="4" bestFit="1" customWidth="1"/>
    <col min="504" max="504" width="14.59765625" style="4" bestFit="1" customWidth="1"/>
    <col min="505" max="505" width="17.3984375" style="4" bestFit="1" customWidth="1"/>
    <col min="506" max="506" width="17.59765625" style="4" bestFit="1" customWidth="1"/>
    <col min="507" max="507" width="14.73046875" style="4" bestFit="1" customWidth="1"/>
    <col min="508" max="508" width="14.3984375" style="4" bestFit="1" customWidth="1"/>
    <col min="509" max="509" width="12.1328125" style="4" bestFit="1" customWidth="1"/>
    <col min="510" max="510" width="12.3984375" style="4" bestFit="1" customWidth="1"/>
    <col min="511" max="512" width="13.86328125" style="4" bestFit="1" customWidth="1"/>
    <col min="513" max="513" width="14.86328125" style="4" bestFit="1" customWidth="1"/>
    <col min="514" max="514" width="12.1328125" style="4" bestFit="1" customWidth="1"/>
    <col min="515" max="515" width="12.3984375" style="4" bestFit="1" customWidth="1"/>
    <col min="516" max="517" width="13.86328125" style="4" bestFit="1" customWidth="1"/>
    <col min="518" max="518" width="14.86328125" style="4" bestFit="1" customWidth="1"/>
    <col min="519" max="757" width="9.1328125" style="4"/>
    <col min="758" max="758" width="15.3984375" style="4" bestFit="1" customWidth="1"/>
    <col min="759" max="759" width="11.1328125" style="4" bestFit="1" customWidth="1"/>
    <col min="760" max="760" width="14.59765625" style="4" bestFit="1" customWidth="1"/>
    <col min="761" max="761" width="17.3984375" style="4" bestFit="1" customWidth="1"/>
    <col min="762" max="762" width="17.59765625" style="4" bestFit="1" customWidth="1"/>
    <col min="763" max="763" width="14.73046875" style="4" bestFit="1" customWidth="1"/>
    <col min="764" max="764" width="14.3984375" style="4" bestFit="1" customWidth="1"/>
    <col min="765" max="765" width="12.1328125" style="4" bestFit="1" customWidth="1"/>
    <col min="766" max="766" width="12.3984375" style="4" bestFit="1" customWidth="1"/>
    <col min="767" max="768" width="13.86328125" style="4" bestFit="1" customWidth="1"/>
    <col min="769" max="769" width="14.86328125" style="4" bestFit="1" customWidth="1"/>
    <col min="770" max="770" width="12.1328125" style="4" bestFit="1" customWidth="1"/>
    <col min="771" max="771" width="12.3984375" style="4" bestFit="1" customWidth="1"/>
    <col min="772" max="773" width="13.86328125" style="4" bestFit="1" customWidth="1"/>
    <col min="774" max="774" width="14.86328125" style="4" bestFit="1" customWidth="1"/>
    <col min="775" max="1013" width="9.1328125" style="4"/>
    <col min="1014" max="1014" width="15.3984375" style="4" bestFit="1" customWidth="1"/>
    <col min="1015" max="1015" width="11.1328125" style="4" bestFit="1" customWidth="1"/>
    <col min="1016" max="1016" width="14.59765625" style="4" bestFit="1" customWidth="1"/>
    <col min="1017" max="1017" width="17.3984375" style="4" bestFit="1" customWidth="1"/>
    <col min="1018" max="1018" width="17.59765625" style="4" bestFit="1" customWidth="1"/>
    <col min="1019" max="1019" width="14.73046875" style="4" bestFit="1" customWidth="1"/>
    <col min="1020" max="1020" width="14.3984375" style="4" bestFit="1" customWidth="1"/>
    <col min="1021" max="1021" width="12.1328125" style="4" bestFit="1" customWidth="1"/>
    <col min="1022" max="1022" width="12.3984375" style="4" bestFit="1" customWidth="1"/>
    <col min="1023" max="1024" width="13.86328125" style="4" bestFit="1" customWidth="1"/>
    <col min="1025" max="1025" width="14.86328125" style="4" bestFit="1" customWidth="1"/>
    <col min="1026" max="1026" width="12.1328125" style="4" bestFit="1" customWidth="1"/>
    <col min="1027" max="1027" width="12.3984375" style="4" bestFit="1" customWidth="1"/>
    <col min="1028" max="1029" width="13.86328125" style="4" bestFit="1" customWidth="1"/>
    <col min="1030" max="1030" width="14.86328125" style="4" bestFit="1" customWidth="1"/>
    <col min="1031" max="1269" width="9.1328125" style="4"/>
    <col min="1270" max="1270" width="15.3984375" style="4" bestFit="1" customWidth="1"/>
    <col min="1271" max="1271" width="11.1328125" style="4" bestFit="1" customWidth="1"/>
    <col min="1272" max="1272" width="14.59765625" style="4" bestFit="1" customWidth="1"/>
    <col min="1273" max="1273" width="17.3984375" style="4" bestFit="1" customWidth="1"/>
    <col min="1274" max="1274" width="17.59765625" style="4" bestFit="1" customWidth="1"/>
    <col min="1275" max="1275" width="14.73046875" style="4" bestFit="1" customWidth="1"/>
    <col min="1276" max="1276" width="14.3984375" style="4" bestFit="1" customWidth="1"/>
    <col min="1277" max="1277" width="12.1328125" style="4" bestFit="1" customWidth="1"/>
    <col min="1278" max="1278" width="12.3984375" style="4" bestFit="1" customWidth="1"/>
    <col min="1279" max="1280" width="13.86328125" style="4" bestFit="1" customWidth="1"/>
    <col min="1281" max="1281" width="14.86328125" style="4" bestFit="1" customWidth="1"/>
    <col min="1282" max="1282" width="12.1328125" style="4" bestFit="1" customWidth="1"/>
    <col min="1283" max="1283" width="12.3984375" style="4" bestFit="1" customWidth="1"/>
    <col min="1284" max="1285" width="13.86328125" style="4" bestFit="1" customWidth="1"/>
    <col min="1286" max="1286" width="14.86328125" style="4" bestFit="1" customWidth="1"/>
    <col min="1287" max="1525" width="9.1328125" style="4"/>
    <col min="1526" max="1526" width="15.3984375" style="4" bestFit="1" customWidth="1"/>
    <col min="1527" max="1527" width="11.1328125" style="4" bestFit="1" customWidth="1"/>
    <col min="1528" max="1528" width="14.59765625" style="4" bestFit="1" customWidth="1"/>
    <col min="1529" max="1529" width="17.3984375" style="4" bestFit="1" customWidth="1"/>
    <col min="1530" max="1530" width="17.59765625" style="4" bestFit="1" customWidth="1"/>
    <col min="1531" max="1531" width="14.73046875" style="4" bestFit="1" customWidth="1"/>
    <col min="1532" max="1532" width="14.3984375" style="4" bestFit="1" customWidth="1"/>
    <col min="1533" max="1533" width="12.1328125" style="4" bestFit="1" customWidth="1"/>
    <col min="1534" max="1534" width="12.3984375" style="4" bestFit="1" customWidth="1"/>
    <col min="1535" max="1536" width="13.86328125" style="4" bestFit="1" customWidth="1"/>
    <col min="1537" max="1537" width="14.86328125" style="4" bestFit="1" customWidth="1"/>
    <col min="1538" max="1538" width="12.1328125" style="4" bestFit="1" customWidth="1"/>
    <col min="1539" max="1539" width="12.3984375" style="4" bestFit="1" customWidth="1"/>
    <col min="1540" max="1541" width="13.86328125" style="4" bestFit="1" customWidth="1"/>
    <col min="1542" max="1542" width="14.86328125" style="4" bestFit="1" customWidth="1"/>
    <col min="1543" max="1781" width="9.1328125" style="4"/>
    <col min="1782" max="1782" width="15.3984375" style="4" bestFit="1" customWidth="1"/>
    <col min="1783" max="1783" width="11.1328125" style="4" bestFit="1" customWidth="1"/>
    <col min="1784" max="1784" width="14.59765625" style="4" bestFit="1" customWidth="1"/>
    <col min="1785" max="1785" width="17.3984375" style="4" bestFit="1" customWidth="1"/>
    <col min="1786" max="1786" width="17.59765625" style="4" bestFit="1" customWidth="1"/>
    <col min="1787" max="1787" width="14.73046875" style="4" bestFit="1" customWidth="1"/>
    <col min="1788" max="1788" width="14.3984375" style="4" bestFit="1" customWidth="1"/>
    <col min="1789" max="1789" width="12.1328125" style="4" bestFit="1" customWidth="1"/>
    <col min="1790" max="1790" width="12.3984375" style="4" bestFit="1" customWidth="1"/>
    <col min="1791" max="1792" width="13.86328125" style="4" bestFit="1" customWidth="1"/>
    <col min="1793" max="1793" width="14.86328125" style="4" bestFit="1" customWidth="1"/>
    <col min="1794" max="1794" width="12.1328125" style="4" bestFit="1" customWidth="1"/>
    <col min="1795" max="1795" width="12.3984375" style="4" bestFit="1" customWidth="1"/>
    <col min="1796" max="1797" width="13.86328125" style="4" bestFit="1" customWidth="1"/>
    <col min="1798" max="1798" width="14.86328125" style="4" bestFit="1" customWidth="1"/>
    <col min="1799" max="2037" width="9.1328125" style="4"/>
    <col min="2038" max="2038" width="15.3984375" style="4" bestFit="1" customWidth="1"/>
    <col min="2039" max="2039" width="11.1328125" style="4" bestFit="1" customWidth="1"/>
    <col min="2040" max="2040" width="14.59765625" style="4" bestFit="1" customWidth="1"/>
    <col min="2041" max="2041" width="17.3984375" style="4" bestFit="1" customWidth="1"/>
    <col min="2042" max="2042" width="17.59765625" style="4" bestFit="1" customWidth="1"/>
    <col min="2043" max="2043" width="14.73046875" style="4" bestFit="1" customWidth="1"/>
    <col min="2044" max="2044" width="14.3984375" style="4" bestFit="1" customWidth="1"/>
    <col min="2045" max="2045" width="12.1328125" style="4" bestFit="1" customWidth="1"/>
    <col min="2046" max="2046" width="12.3984375" style="4" bestFit="1" customWidth="1"/>
    <col min="2047" max="2048" width="13.86328125" style="4" bestFit="1" customWidth="1"/>
    <col min="2049" max="2049" width="14.86328125" style="4" bestFit="1" customWidth="1"/>
    <col min="2050" max="2050" width="12.1328125" style="4" bestFit="1" customWidth="1"/>
    <col min="2051" max="2051" width="12.3984375" style="4" bestFit="1" customWidth="1"/>
    <col min="2052" max="2053" width="13.86328125" style="4" bestFit="1" customWidth="1"/>
    <col min="2054" max="2054" width="14.86328125" style="4" bestFit="1" customWidth="1"/>
    <col min="2055" max="2293" width="9.1328125" style="4"/>
    <col min="2294" max="2294" width="15.3984375" style="4" bestFit="1" customWidth="1"/>
    <col min="2295" max="2295" width="11.1328125" style="4" bestFit="1" customWidth="1"/>
    <col min="2296" max="2296" width="14.59765625" style="4" bestFit="1" customWidth="1"/>
    <col min="2297" max="2297" width="17.3984375" style="4" bestFit="1" customWidth="1"/>
    <col min="2298" max="2298" width="17.59765625" style="4" bestFit="1" customWidth="1"/>
    <col min="2299" max="2299" width="14.73046875" style="4" bestFit="1" customWidth="1"/>
    <col min="2300" max="2300" width="14.3984375" style="4" bestFit="1" customWidth="1"/>
    <col min="2301" max="2301" width="12.1328125" style="4" bestFit="1" customWidth="1"/>
    <col min="2302" max="2302" width="12.3984375" style="4" bestFit="1" customWidth="1"/>
    <col min="2303" max="2304" width="13.86328125" style="4" bestFit="1" customWidth="1"/>
    <col min="2305" max="2305" width="14.86328125" style="4" bestFit="1" customWidth="1"/>
    <col min="2306" max="2306" width="12.1328125" style="4" bestFit="1" customWidth="1"/>
    <col min="2307" max="2307" width="12.3984375" style="4" bestFit="1" customWidth="1"/>
    <col min="2308" max="2309" width="13.86328125" style="4" bestFit="1" customWidth="1"/>
    <col min="2310" max="2310" width="14.86328125" style="4" bestFit="1" customWidth="1"/>
    <col min="2311" max="2549" width="9.1328125" style="4"/>
    <col min="2550" max="2550" width="15.3984375" style="4" bestFit="1" customWidth="1"/>
    <col min="2551" max="2551" width="11.1328125" style="4" bestFit="1" customWidth="1"/>
    <col min="2552" max="2552" width="14.59765625" style="4" bestFit="1" customWidth="1"/>
    <col min="2553" max="2553" width="17.3984375" style="4" bestFit="1" customWidth="1"/>
    <col min="2554" max="2554" width="17.59765625" style="4" bestFit="1" customWidth="1"/>
    <col min="2555" max="2555" width="14.73046875" style="4" bestFit="1" customWidth="1"/>
    <col min="2556" max="2556" width="14.3984375" style="4" bestFit="1" customWidth="1"/>
    <col min="2557" max="2557" width="12.1328125" style="4" bestFit="1" customWidth="1"/>
    <col min="2558" max="2558" width="12.3984375" style="4" bestFit="1" customWidth="1"/>
    <col min="2559" max="2560" width="13.86328125" style="4" bestFit="1" customWidth="1"/>
    <col min="2561" max="2561" width="14.86328125" style="4" bestFit="1" customWidth="1"/>
    <col min="2562" max="2562" width="12.1328125" style="4" bestFit="1" customWidth="1"/>
    <col min="2563" max="2563" width="12.3984375" style="4" bestFit="1" customWidth="1"/>
    <col min="2564" max="2565" width="13.86328125" style="4" bestFit="1" customWidth="1"/>
    <col min="2566" max="2566" width="14.86328125" style="4" bestFit="1" customWidth="1"/>
    <col min="2567" max="2805" width="9.1328125" style="4"/>
    <col min="2806" max="2806" width="15.3984375" style="4" bestFit="1" customWidth="1"/>
    <col min="2807" max="2807" width="11.1328125" style="4" bestFit="1" customWidth="1"/>
    <col min="2808" max="2808" width="14.59765625" style="4" bestFit="1" customWidth="1"/>
    <col min="2809" max="2809" width="17.3984375" style="4" bestFit="1" customWidth="1"/>
    <col min="2810" max="2810" width="17.59765625" style="4" bestFit="1" customWidth="1"/>
    <col min="2811" max="2811" width="14.73046875" style="4" bestFit="1" customWidth="1"/>
    <col min="2812" max="2812" width="14.3984375" style="4" bestFit="1" customWidth="1"/>
    <col min="2813" max="2813" width="12.1328125" style="4" bestFit="1" customWidth="1"/>
    <col min="2814" max="2814" width="12.3984375" style="4" bestFit="1" customWidth="1"/>
    <col min="2815" max="2816" width="13.86328125" style="4" bestFit="1" customWidth="1"/>
    <col min="2817" max="2817" width="14.86328125" style="4" bestFit="1" customWidth="1"/>
    <col min="2818" max="2818" width="12.1328125" style="4" bestFit="1" customWidth="1"/>
    <col min="2819" max="2819" width="12.3984375" style="4" bestFit="1" customWidth="1"/>
    <col min="2820" max="2821" width="13.86328125" style="4" bestFit="1" customWidth="1"/>
    <col min="2822" max="2822" width="14.86328125" style="4" bestFit="1" customWidth="1"/>
    <col min="2823" max="3061" width="9.1328125" style="4"/>
    <col min="3062" max="3062" width="15.3984375" style="4" bestFit="1" customWidth="1"/>
    <col min="3063" max="3063" width="11.1328125" style="4" bestFit="1" customWidth="1"/>
    <col min="3064" max="3064" width="14.59765625" style="4" bestFit="1" customWidth="1"/>
    <col min="3065" max="3065" width="17.3984375" style="4" bestFit="1" customWidth="1"/>
    <col min="3066" max="3066" width="17.59765625" style="4" bestFit="1" customWidth="1"/>
    <col min="3067" max="3067" width="14.73046875" style="4" bestFit="1" customWidth="1"/>
    <col min="3068" max="3068" width="14.3984375" style="4" bestFit="1" customWidth="1"/>
    <col min="3069" max="3069" width="12.1328125" style="4" bestFit="1" customWidth="1"/>
    <col min="3070" max="3070" width="12.3984375" style="4" bestFit="1" customWidth="1"/>
    <col min="3071" max="3072" width="13.86328125" style="4" bestFit="1" customWidth="1"/>
    <col min="3073" max="3073" width="14.86328125" style="4" bestFit="1" customWidth="1"/>
    <col min="3074" max="3074" width="12.1328125" style="4" bestFit="1" customWidth="1"/>
    <col min="3075" max="3075" width="12.3984375" style="4" bestFit="1" customWidth="1"/>
    <col min="3076" max="3077" width="13.86328125" style="4" bestFit="1" customWidth="1"/>
    <col min="3078" max="3078" width="14.86328125" style="4" bestFit="1" customWidth="1"/>
    <col min="3079" max="3317" width="9.1328125" style="4"/>
    <col min="3318" max="3318" width="15.3984375" style="4" bestFit="1" customWidth="1"/>
    <col min="3319" max="3319" width="11.1328125" style="4" bestFit="1" customWidth="1"/>
    <col min="3320" max="3320" width="14.59765625" style="4" bestFit="1" customWidth="1"/>
    <col min="3321" max="3321" width="17.3984375" style="4" bestFit="1" customWidth="1"/>
    <col min="3322" max="3322" width="17.59765625" style="4" bestFit="1" customWidth="1"/>
    <col min="3323" max="3323" width="14.73046875" style="4" bestFit="1" customWidth="1"/>
    <col min="3324" max="3324" width="14.3984375" style="4" bestFit="1" customWidth="1"/>
    <col min="3325" max="3325" width="12.1328125" style="4" bestFit="1" customWidth="1"/>
    <col min="3326" max="3326" width="12.3984375" style="4" bestFit="1" customWidth="1"/>
    <col min="3327" max="3328" width="13.86328125" style="4" bestFit="1" customWidth="1"/>
    <col min="3329" max="3329" width="14.86328125" style="4" bestFit="1" customWidth="1"/>
    <col min="3330" max="3330" width="12.1328125" style="4" bestFit="1" customWidth="1"/>
    <col min="3331" max="3331" width="12.3984375" style="4" bestFit="1" customWidth="1"/>
    <col min="3332" max="3333" width="13.86328125" style="4" bestFit="1" customWidth="1"/>
    <col min="3334" max="3334" width="14.86328125" style="4" bestFit="1" customWidth="1"/>
    <col min="3335" max="3573" width="9.1328125" style="4"/>
    <col min="3574" max="3574" width="15.3984375" style="4" bestFit="1" customWidth="1"/>
    <col min="3575" max="3575" width="11.1328125" style="4" bestFit="1" customWidth="1"/>
    <col min="3576" max="3576" width="14.59765625" style="4" bestFit="1" customWidth="1"/>
    <col min="3577" max="3577" width="17.3984375" style="4" bestFit="1" customWidth="1"/>
    <col min="3578" max="3578" width="17.59765625" style="4" bestFit="1" customWidth="1"/>
    <col min="3579" max="3579" width="14.73046875" style="4" bestFit="1" customWidth="1"/>
    <col min="3580" max="3580" width="14.3984375" style="4" bestFit="1" customWidth="1"/>
    <col min="3581" max="3581" width="12.1328125" style="4" bestFit="1" customWidth="1"/>
    <col min="3582" max="3582" width="12.3984375" style="4" bestFit="1" customWidth="1"/>
    <col min="3583" max="3584" width="13.86328125" style="4" bestFit="1" customWidth="1"/>
    <col min="3585" max="3585" width="14.86328125" style="4" bestFit="1" customWidth="1"/>
    <col min="3586" max="3586" width="12.1328125" style="4" bestFit="1" customWidth="1"/>
    <col min="3587" max="3587" width="12.3984375" style="4" bestFit="1" customWidth="1"/>
    <col min="3588" max="3589" width="13.86328125" style="4" bestFit="1" customWidth="1"/>
    <col min="3590" max="3590" width="14.86328125" style="4" bestFit="1" customWidth="1"/>
    <col min="3591" max="3829" width="9.1328125" style="4"/>
    <col min="3830" max="3830" width="15.3984375" style="4" bestFit="1" customWidth="1"/>
    <col min="3831" max="3831" width="11.1328125" style="4" bestFit="1" customWidth="1"/>
    <col min="3832" max="3832" width="14.59765625" style="4" bestFit="1" customWidth="1"/>
    <col min="3833" max="3833" width="17.3984375" style="4" bestFit="1" customWidth="1"/>
    <col min="3834" max="3834" width="17.59765625" style="4" bestFit="1" customWidth="1"/>
    <col min="3835" max="3835" width="14.73046875" style="4" bestFit="1" customWidth="1"/>
    <col min="3836" max="3836" width="14.3984375" style="4" bestFit="1" customWidth="1"/>
    <col min="3837" max="3837" width="12.1328125" style="4" bestFit="1" customWidth="1"/>
    <col min="3838" max="3838" width="12.3984375" style="4" bestFit="1" customWidth="1"/>
    <col min="3839" max="3840" width="13.86328125" style="4" bestFit="1" customWidth="1"/>
    <col min="3841" max="3841" width="14.86328125" style="4" bestFit="1" customWidth="1"/>
    <col min="3842" max="3842" width="12.1328125" style="4" bestFit="1" customWidth="1"/>
    <col min="3843" max="3843" width="12.3984375" style="4" bestFit="1" customWidth="1"/>
    <col min="3844" max="3845" width="13.86328125" style="4" bestFit="1" customWidth="1"/>
    <col min="3846" max="3846" width="14.86328125" style="4" bestFit="1" customWidth="1"/>
    <col min="3847" max="4085" width="9.1328125" style="4"/>
    <col min="4086" max="4086" width="15.3984375" style="4" bestFit="1" customWidth="1"/>
    <col min="4087" max="4087" width="11.1328125" style="4" bestFit="1" customWidth="1"/>
    <col min="4088" max="4088" width="14.59765625" style="4" bestFit="1" customWidth="1"/>
    <col min="4089" max="4089" width="17.3984375" style="4" bestFit="1" customWidth="1"/>
    <col min="4090" max="4090" width="17.59765625" style="4" bestFit="1" customWidth="1"/>
    <col min="4091" max="4091" width="14.73046875" style="4" bestFit="1" customWidth="1"/>
    <col min="4092" max="4092" width="14.3984375" style="4" bestFit="1" customWidth="1"/>
    <col min="4093" max="4093" width="12.1328125" style="4" bestFit="1" customWidth="1"/>
    <col min="4094" max="4094" width="12.3984375" style="4" bestFit="1" customWidth="1"/>
    <col min="4095" max="4096" width="13.86328125" style="4" bestFit="1" customWidth="1"/>
    <col min="4097" max="4097" width="14.86328125" style="4" bestFit="1" customWidth="1"/>
    <col min="4098" max="4098" width="12.1328125" style="4" bestFit="1" customWidth="1"/>
    <col min="4099" max="4099" width="12.3984375" style="4" bestFit="1" customWidth="1"/>
    <col min="4100" max="4101" width="13.86328125" style="4" bestFit="1" customWidth="1"/>
    <col min="4102" max="4102" width="14.86328125" style="4" bestFit="1" customWidth="1"/>
    <col min="4103" max="4341" width="9.1328125" style="4"/>
    <col min="4342" max="4342" width="15.3984375" style="4" bestFit="1" customWidth="1"/>
    <col min="4343" max="4343" width="11.1328125" style="4" bestFit="1" customWidth="1"/>
    <col min="4344" max="4344" width="14.59765625" style="4" bestFit="1" customWidth="1"/>
    <col min="4345" max="4345" width="17.3984375" style="4" bestFit="1" customWidth="1"/>
    <col min="4346" max="4346" width="17.59765625" style="4" bestFit="1" customWidth="1"/>
    <col min="4347" max="4347" width="14.73046875" style="4" bestFit="1" customWidth="1"/>
    <col min="4348" max="4348" width="14.3984375" style="4" bestFit="1" customWidth="1"/>
    <col min="4349" max="4349" width="12.1328125" style="4" bestFit="1" customWidth="1"/>
    <col min="4350" max="4350" width="12.3984375" style="4" bestFit="1" customWidth="1"/>
    <col min="4351" max="4352" width="13.86328125" style="4" bestFit="1" customWidth="1"/>
    <col min="4353" max="4353" width="14.86328125" style="4" bestFit="1" customWidth="1"/>
    <col min="4354" max="4354" width="12.1328125" style="4" bestFit="1" customWidth="1"/>
    <col min="4355" max="4355" width="12.3984375" style="4" bestFit="1" customWidth="1"/>
    <col min="4356" max="4357" width="13.86328125" style="4" bestFit="1" customWidth="1"/>
    <col min="4358" max="4358" width="14.86328125" style="4" bestFit="1" customWidth="1"/>
    <col min="4359" max="4597" width="9.1328125" style="4"/>
    <col min="4598" max="4598" width="15.3984375" style="4" bestFit="1" customWidth="1"/>
    <col min="4599" max="4599" width="11.1328125" style="4" bestFit="1" customWidth="1"/>
    <col min="4600" max="4600" width="14.59765625" style="4" bestFit="1" customWidth="1"/>
    <col min="4601" max="4601" width="17.3984375" style="4" bestFit="1" customWidth="1"/>
    <col min="4602" max="4602" width="17.59765625" style="4" bestFit="1" customWidth="1"/>
    <col min="4603" max="4603" width="14.73046875" style="4" bestFit="1" customWidth="1"/>
    <col min="4604" max="4604" width="14.3984375" style="4" bestFit="1" customWidth="1"/>
    <col min="4605" max="4605" width="12.1328125" style="4" bestFit="1" customWidth="1"/>
    <col min="4606" max="4606" width="12.3984375" style="4" bestFit="1" customWidth="1"/>
    <col min="4607" max="4608" width="13.86328125" style="4" bestFit="1" customWidth="1"/>
    <col min="4609" max="4609" width="14.86328125" style="4" bestFit="1" customWidth="1"/>
    <col min="4610" max="4610" width="12.1328125" style="4" bestFit="1" customWidth="1"/>
    <col min="4611" max="4611" width="12.3984375" style="4" bestFit="1" customWidth="1"/>
    <col min="4612" max="4613" width="13.86328125" style="4" bestFit="1" customWidth="1"/>
    <col min="4614" max="4614" width="14.86328125" style="4" bestFit="1" customWidth="1"/>
    <col min="4615" max="4853" width="9.1328125" style="4"/>
    <col min="4854" max="4854" width="15.3984375" style="4" bestFit="1" customWidth="1"/>
    <col min="4855" max="4855" width="11.1328125" style="4" bestFit="1" customWidth="1"/>
    <col min="4856" max="4856" width="14.59765625" style="4" bestFit="1" customWidth="1"/>
    <col min="4857" max="4857" width="17.3984375" style="4" bestFit="1" customWidth="1"/>
    <col min="4858" max="4858" width="17.59765625" style="4" bestFit="1" customWidth="1"/>
    <col min="4859" max="4859" width="14.73046875" style="4" bestFit="1" customWidth="1"/>
    <col min="4860" max="4860" width="14.3984375" style="4" bestFit="1" customWidth="1"/>
    <col min="4861" max="4861" width="12.1328125" style="4" bestFit="1" customWidth="1"/>
    <col min="4862" max="4862" width="12.3984375" style="4" bestFit="1" customWidth="1"/>
    <col min="4863" max="4864" width="13.86328125" style="4" bestFit="1" customWidth="1"/>
    <col min="4865" max="4865" width="14.86328125" style="4" bestFit="1" customWidth="1"/>
    <col min="4866" max="4866" width="12.1328125" style="4" bestFit="1" customWidth="1"/>
    <col min="4867" max="4867" width="12.3984375" style="4" bestFit="1" customWidth="1"/>
    <col min="4868" max="4869" width="13.86328125" style="4" bestFit="1" customWidth="1"/>
    <col min="4870" max="4870" width="14.86328125" style="4" bestFit="1" customWidth="1"/>
    <col min="4871" max="5109" width="9.1328125" style="4"/>
    <col min="5110" max="5110" width="15.3984375" style="4" bestFit="1" customWidth="1"/>
    <col min="5111" max="5111" width="11.1328125" style="4" bestFit="1" customWidth="1"/>
    <col min="5112" max="5112" width="14.59765625" style="4" bestFit="1" customWidth="1"/>
    <col min="5113" max="5113" width="17.3984375" style="4" bestFit="1" customWidth="1"/>
    <col min="5114" max="5114" width="17.59765625" style="4" bestFit="1" customWidth="1"/>
    <col min="5115" max="5115" width="14.73046875" style="4" bestFit="1" customWidth="1"/>
    <col min="5116" max="5116" width="14.3984375" style="4" bestFit="1" customWidth="1"/>
    <col min="5117" max="5117" width="12.1328125" style="4" bestFit="1" customWidth="1"/>
    <col min="5118" max="5118" width="12.3984375" style="4" bestFit="1" customWidth="1"/>
    <col min="5119" max="5120" width="13.86328125" style="4" bestFit="1" customWidth="1"/>
    <col min="5121" max="5121" width="14.86328125" style="4" bestFit="1" customWidth="1"/>
    <col min="5122" max="5122" width="12.1328125" style="4" bestFit="1" customWidth="1"/>
    <col min="5123" max="5123" width="12.3984375" style="4" bestFit="1" customWidth="1"/>
    <col min="5124" max="5125" width="13.86328125" style="4" bestFit="1" customWidth="1"/>
    <col min="5126" max="5126" width="14.86328125" style="4" bestFit="1" customWidth="1"/>
    <col min="5127" max="5365" width="9.1328125" style="4"/>
    <col min="5366" max="5366" width="15.3984375" style="4" bestFit="1" customWidth="1"/>
    <col min="5367" max="5367" width="11.1328125" style="4" bestFit="1" customWidth="1"/>
    <col min="5368" max="5368" width="14.59765625" style="4" bestFit="1" customWidth="1"/>
    <col min="5369" max="5369" width="17.3984375" style="4" bestFit="1" customWidth="1"/>
    <col min="5370" max="5370" width="17.59765625" style="4" bestFit="1" customWidth="1"/>
    <col min="5371" max="5371" width="14.73046875" style="4" bestFit="1" customWidth="1"/>
    <col min="5372" max="5372" width="14.3984375" style="4" bestFit="1" customWidth="1"/>
    <col min="5373" max="5373" width="12.1328125" style="4" bestFit="1" customWidth="1"/>
    <col min="5374" max="5374" width="12.3984375" style="4" bestFit="1" customWidth="1"/>
    <col min="5375" max="5376" width="13.86328125" style="4" bestFit="1" customWidth="1"/>
    <col min="5377" max="5377" width="14.86328125" style="4" bestFit="1" customWidth="1"/>
    <col min="5378" max="5378" width="12.1328125" style="4" bestFit="1" customWidth="1"/>
    <col min="5379" max="5379" width="12.3984375" style="4" bestFit="1" customWidth="1"/>
    <col min="5380" max="5381" width="13.86328125" style="4" bestFit="1" customWidth="1"/>
    <col min="5382" max="5382" width="14.86328125" style="4" bestFit="1" customWidth="1"/>
    <col min="5383" max="5621" width="9.1328125" style="4"/>
    <col min="5622" max="5622" width="15.3984375" style="4" bestFit="1" customWidth="1"/>
    <col min="5623" max="5623" width="11.1328125" style="4" bestFit="1" customWidth="1"/>
    <col min="5624" max="5624" width="14.59765625" style="4" bestFit="1" customWidth="1"/>
    <col min="5625" max="5625" width="17.3984375" style="4" bestFit="1" customWidth="1"/>
    <col min="5626" max="5626" width="17.59765625" style="4" bestFit="1" customWidth="1"/>
    <col min="5627" max="5627" width="14.73046875" style="4" bestFit="1" customWidth="1"/>
    <col min="5628" max="5628" width="14.3984375" style="4" bestFit="1" customWidth="1"/>
    <col min="5629" max="5629" width="12.1328125" style="4" bestFit="1" customWidth="1"/>
    <col min="5630" max="5630" width="12.3984375" style="4" bestFit="1" customWidth="1"/>
    <col min="5631" max="5632" width="13.86328125" style="4" bestFit="1" customWidth="1"/>
    <col min="5633" max="5633" width="14.86328125" style="4" bestFit="1" customWidth="1"/>
    <col min="5634" max="5634" width="12.1328125" style="4" bestFit="1" customWidth="1"/>
    <col min="5635" max="5635" width="12.3984375" style="4" bestFit="1" customWidth="1"/>
    <col min="5636" max="5637" width="13.86328125" style="4" bestFit="1" customWidth="1"/>
    <col min="5638" max="5638" width="14.86328125" style="4" bestFit="1" customWidth="1"/>
    <col min="5639" max="5877" width="9.1328125" style="4"/>
    <col min="5878" max="5878" width="15.3984375" style="4" bestFit="1" customWidth="1"/>
    <col min="5879" max="5879" width="11.1328125" style="4" bestFit="1" customWidth="1"/>
    <col min="5880" max="5880" width="14.59765625" style="4" bestFit="1" customWidth="1"/>
    <col min="5881" max="5881" width="17.3984375" style="4" bestFit="1" customWidth="1"/>
    <col min="5882" max="5882" width="17.59765625" style="4" bestFit="1" customWidth="1"/>
    <col min="5883" max="5883" width="14.73046875" style="4" bestFit="1" customWidth="1"/>
    <col min="5884" max="5884" width="14.3984375" style="4" bestFit="1" customWidth="1"/>
    <col min="5885" max="5885" width="12.1328125" style="4" bestFit="1" customWidth="1"/>
    <col min="5886" max="5886" width="12.3984375" style="4" bestFit="1" customWidth="1"/>
    <col min="5887" max="5888" width="13.86328125" style="4" bestFit="1" customWidth="1"/>
    <col min="5889" max="5889" width="14.86328125" style="4" bestFit="1" customWidth="1"/>
    <col min="5890" max="5890" width="12.1328125" style="4" bestFit="1" customWidth="1"/>
    <col min="5891" max="5891" width="12.3984375" style="4" bestFit="1" customWidth="1"/>
    <col min="5892" max="5893" width="13.86328125" style="4" bestFit="1" customWidth="1"/>
    <col min="5894" max="5894" width="14.86328125" style="4" bestFit="1" customWidth="1"/>
    <col min="5895" max="6133" width="9.1328125" style="4"/>
    <col min="6134" max="6134" width="15.3984375" style="4" bestFit="1" customWidth="1"/>
    <col min="6135" max="6135" width="11.1328125" style="4" bestFit="1" customWidth="1"/>
    <col min="6136" max="6136" width="14.59765625" style="4" bestFit="1" customWidth="1"/>
    <col min="6137" max="6137" width="17.3984375" style="4" bestFit="1" customWidth="1"/>
    <col min="6138" max="6138" width="17.59765625" style="4" bestFit="1" customWidth="1"/>
    <col min="6139" max="6139" width="14.73046875" style="4" bestFit="1" customWidth="1"/>
    <col min="6140" max="6140" width="14.3984375" style="4" bestFit="1" customWidth="1"/>
    <col min="6141" max="6141" width="12.1328125" style="4" bestFit="1" customWidth="1"/>
    <col min="6142" max="6142" width="12.3984375" style="4" bestFit="1" customWidth="1"/>
    <col min="6143" max="6144" width="13.86328125" style="4" bestFit="1" customWidth="1"/>
    <col min="6145" max="6145" width="14.86328125" style="4" bestFit="1" customWidth="1"/>
    <col min="6146" max="6146" width="12.1328125" style="4" bestFit="1" customWidth="1"/>
    <col min="6147" max="6147" width="12.3984375" style="4" bestFit="1" customWidth="1"/>
    <col min="6148" max="6149" width="13.86328125" style="4" bestFit="1" customWidth="1"/>
    <col min="6150" max="6150" width="14.86328125" style="4" bestFit="1" customWidth="1"/>
    <col min="6151" max="6389" width="9.1328125" style="4"/>
    <col min="6390" max="6390" width="15.3984375" style="4" bestFit="1" customWidth="1"/>
    <col min="6391" max="6391" width="11.1328125" style="4" bestFit="1" customWidth="1"/>
    <col min="6392" max="6392" width="14.59765625" style="4" bestFit="1" customWidth="1"/>
    <col min="6393" max="6393" width="17.3984375" style="4" bestFit="1" customWidth="1"/>
    <col min="6394" max="6394" width="17.59765625" style="4" bestFit="1" customWidth="1"/>
    <col min="6395" max="6395" width="14.73046875" style="4" bestFit="1" customWidth="1"/>
    <col min="6396" max="6396" width="14.3984375" style="4" bestFit="1" customWidth="1"/>
    <col min="6397" max="6397" width="12.1328125" style="4" bestFit="1" customWidth="1"/>
    <col min="6398" max="6398" width="12.3984375" style="4" bestFit="1" customWidth="1"/>
    <col min="6399" max="6400" width="13.86328125" style="4" bestFit="1" customWidth="1"/>
    <col min="6401" max="6401" width="14.86328125" style="4" bestFit="1" customWidth="1"/>
    <col min="6402" max="6402" width="12.1328125" style="4" bestFit="1" customWidth="1"/>
    <col min="6403" max="6403" width="12.3984375" style="4" bestFit="1" customWidth="1"/>
    <col min="6404" max="6405" width="13.86328125" style="4" bestFit="1" customWidth="1"/>
    <col min="6406" max="6406" width="14.86328125" style="4" bestFit="1" customWidth="1"/>
    <col min="6407" max="6645" width="9.1328125" style="4"/>
    <col min="6646" max="6646" width="15.3984375" style="4" bestFit="1" customWidth="1"/>
    <col min="6647" max="6647" width="11.1328125" style="4" bestFit="1" customWidth="1"/>
    <col min="6648" max="6648" width="14.59765625" style="4" bestFit="1" customWidth="1"/>
    <col min="6649" max="6649" width="17.3984375" style="4" bestFit="1" customWidth="1"/>
    <col min="6650" max="6650" width="17.59765625" style="4" bestFit="1" customWidth="1"/>
    <col min="6651" max="6651" width="14.73046875" style="4" bestFit="1" customWidth="1"/>
    <col min="6652" max="6652" width="14.3984375" style="4" bestFit="1" customWidth="1"/>
    <col min="6653" max="6653" width="12.1328125" style="4" bestFit="1" customWidth="1"/>
    <col min="6654" max="6654" width="12.3984375" style="4" bestFit="1" customWidth="1"/>
    <col min="6655" max="6656" width="13.86328125" style="4" bestFit="1" customWidth="1"/>
    <col min="6657" max="6657" width="14.86328125" style="4" bestFit="1" customWidth="1"/>
    <col min="6658" max="6658" width="12.1328125" style="4" bestFit="1" customWidth="1"/>
    <col min="6659" max="6659" width="12.3984375" style="4" bestFit="1" customWidth="1"/>
    <col min="6660" max="6661" width="13.86328125" style="4" bestFit="1" customWidth="1"/>
    <col min="6662" max="6662" width="14.86328125" style="4" bestFit="1" customWidth="1"/>
    <col min="6663" max="6901" width="9.1328125" style="4"/>
    <col min="6902" max="6902" width="15.3984375" style="4" bestFit="1" customWidth="1"/>
    <col min="6903" max="6903" width="11.1328125" style="4" bestFit="1" customWidth="1"/>
    <col min="6904" max="6904" width="14.59765625" style="4" bestFit="1" customWidth="1"/>
    <col min="6905" max="6905" width="17.3984375" style="4" bestFit="1" customWidth="1"/>
    <col min="6906" max="6906" width="17.59765625" style="4" bestFit="1" customWidth="1"/>
    <col min="6907" max="6907" width="14.73046875" style="4" bestFit="1" customWidth="1"/>
    <col min="6908" max="6908" width="14.3984375" style="4" bestFit="1" customWidth="1"/>
    <col min="6909" max="6909" width="12.1328125" style="4" bestFit="1" customWidth="1"/>
    <col min="6910" max="6910" width="12.3984375" style="4" bestFit="1" customWidth="1"/>
    <col min="6911" max="6912" width="13.86328125" style="4" bestFit="1" customWidth="1"/>
    <col min="6913" max="6913" width="14.86328125" style="4" bestFit="1" customWidth="1"/>
    <col min="6914" max="6914" width="12.1328125" style="4" bestFit="1" customWidth="1"/>
    <col min="6915" max="6915" width="12.3984375" style="4" bestFit="1" customWidth="1"/>
    <col min="6916" max="6917" width="13.86328125" style="4" bestFit="1" customWidth="1"/>
    <col min="6918" max="6918" width="14.86328125" style="4" bestFit="1" customWidth="1"/>
    <col min="6919" max="7157" width="9.1328125" style="4"/>
    <col min="7158" max="7158" width="15.3984375" style="4" bestFit="1" customWidth="1"/>
    <col min="7159" max="7159" width="11.1328125" style="4" bestFit="1" customWidth="1"/>
    <col min="7160" max="7160" width="14.59765625" style="4" bestFit="1" customWidth="1"/>
    <col min="7161" max="7161" width="17.3984375" style="4" bestFit="1" customWidth="1"/>
    <col min="7162" max="7162" width="17.59765625" style="4" bestFit="1" customWidth="1"/>
    <col min="7163" max="7163" width="14.73046875" style="4" bestFit="1" customWidth="1"/>
    <col min="7164" max="7164" width="14.3984375" style="4" bestFit="1" customWidth="1"/>
    <col min="7165" max="7165" width="12.1328125" style="4" bestFit="1" customWidth="1"/>
    <col min="7166" max="7166" width="12.3984375" style="4" bestFit="1" customWidth="1"/>
    <col min="7167" max="7168" width="13.86328125" style="4" bestFit="1" customWidth="1"/>
    <col min="7169" max="7169" width="14.86328125" style="4" bestFit="1" customWidth="1"/>
    <col min="7170" max="7170" width="12.1328125" style="4" bestFit="1" customWidth="1"/>
    <col min="7171" max="7171" width="12.3984375" style="4" bestFit="1" customWidth="1"/>
    <col min="7172" max="7173" width="13.86328125" style="4" bestFit="1" customWidth="1"/>
    <col min="7174" max="7174" width="14.86328125" style="4" bestFit="1" customWidth="1"/>
    <col min="7175" max="7413" width="9.1328125" style="4"/>
    <col min="7414" max="7414" width="15.3984375" style="4" bestFit="1" customWidth="1"/>
    <col min="7415" max="7415" width="11.1328125" style="4" bestFit="1" customWidth="1"/>
    <col min="7416" max="7416" width="14.59765625" style="4" bestFit="1" customWidth="1"/>
    <col min="7417" max="7417" width="17.3984375" style="4" bestFit="1" customWidth="1"/>
    <col min="7418" max="7418" width="17.59765625" style="4" bestFit="1" customWidth="1"/>
    <col min="7419" max="7419" width="14.73046875" style="4" bestFit="1" customWidth="1"/>
    <col min="7420" max="7420" width="14.3984375" style="4" bestFit="1" customWidth="1"/>
    <col min="7421" max="7421" width="12.1328125" style="4" bestFit="1" customWidth="1"/>
    <col min="7422" max="7422" width="12.3984375" style="4" bestFit="1" customWidth="1"/>
    <col min="7423" max="7424" width="13.86328125" style="4" bestFit="1" customWidth="1"/>
    <col min="7425" max="7425" width="14.86328125" style="4" bestFit="1" customWidth="1"/>
    <col min="7426" max="7426" width="12.1328125" style="4" bestFit="1" customWidth="1"/>
    <col min="7427" max="7427" width="12.3984375" style="4" bestFit="1" customWidth="1"/>
    <col min="7428" max="7429" width="13.86328125" style="4" bestFit="1" customWidth="1"/>
    <col min="7430" max="7430" width="14.86328125" style="4" bestFit="1" customWidth="1"/>
    <col min="7431" max="7669" width="9.1328125" style="4"/>
    <col min="7670" max="7670" width="15.3984375" style="4" bestFit="1" customWidth="1"/>
    <col min="7671" max="7671" width="11.1328125" style="4" bestFit="1" customWidth="1"/>
    <col min="7672" max="7672" width="14.59765625" style="4" bestFit="1" customWidth="1"/>
    <col min="7673" max="7673" width="17.3984375" style="4" bestFit="1" customWidth="1"/>
    <col min="7674" max="7674" width="17.59765625" style="4" bestFit="1" customWidth="1"/>
    <col min="7675" max="7675" width="14.73046875" style="4" bestFit="1" customWidth="1"/>
    <col min="7676" max="7676" width="14.3984375" style="4" bestFit="1" customWidth="1"/>
    <col min="7677" max="7677" width="12.1328125" style="4" bestFit="1" customWidth="1"/>
    <col min="7678" max="7678" width="12.3984375" style="4" bestFit="1" customWidth="1"/>
    <col min="7679" max="7680" width="13.86328125" style="4" bestFit="1" customWidth="1"/>
    <col min="7681" max="7681" width="14.86328125" style="4" bestFit="1" customWidth="1"/>
    <col min="7682" max="7682" width="12.1328125" style="4" bestFit="1" customWidth="1"/>
    <col min="7683" max="7683" width="12.3984375" style="4" bestFit="1" customWidth="1"/>
    <col min="7684" max="7685" width="13.86328125" style="4" bestFit="1" customWidth="1"/>
    <col min="7686" max="7686" width="14.86328125" style="4" bestFit="1" customWidth="1"/>
    <col min="7687" max="7925" width="9.1328125" style="4"/>
    <col min="7926" max="7926" width="15.3984375" style="4" bestFit="1" customWidth="1"/>
    <col min="7927" max="7927" width="11.1328125" style="4" bestFit="1" customWidth="1"/>
    <col min="7928" max="7928" width="14.59765625" style="4" bestFit="1" customWidth="1"/>
    <col min="7929" max="7929" width="17.3984375" style="4" bestFit="1" customWidth="1"/>
    <col min="7930" max="7930" width="17.59765625" style="4" bestFit="1" customWidth="1"/>
    <col min="7931" max="7931" width="14.73046875" style="4" bestFit="1" customWidth="1"/>
    <col min="7932" max="7932" width="14.3984375" style="4" bestFit="1" customWidth="1"/>
    <col min="7933" max="7933" width="12.1328125" style="4" bestFit="1" customWidth="1"/>
    <col min="7934" max="7934" width="12.3984375" style="4" bestFit="1" customWidth="1"/>
    <col min="7935" max="7936" width="13.86328125" style="4" bestFit="1" customWidth="1"/>
    <col min="7937" max="7937" width="14.86328125" style="4" bestFit="1" customWidth="1"/>
    <col min="7938" max="7938" width="12.1328125" style="4" bestFit="1" customWidth="1"/>
    <col min="7939" max="7939" width="12.3984375" style="4" bestFit="1" customWidth="1"/>
    <col min="7940" max="7941" width="13.86328125" style="4" bestFit="1" customWidth="1"/>
    <col min="7942" max="7942" width="14.86328125" style="4" bestFit="1" customWidth="1"/>
    <col min="7943" max="8181" width="9.1328125" style="4"/>
    <col min="8182" max="8182" width="15.3984375" style="4" bestFit="1" customWidth="1"/>
    <col min="8183" max="8183" width="11.1328125" style="4" bestFit="1" customWidth="1"/>
    <col min="8184" max="8184" width="14.59765625" style="4" bestFit="1" customWidth="1"/>
    <col min="8185" max="8185" width="17.3984375" style="4" bestFit="1" customWidth="1"/>
    <col min="8186" max="8186" width="17.59765625" style="4" bestFit="1" customWidth="1"/>
    <col min="8187" max="8187" width="14.73046875" style="4" bestFit="1" customWidth="1"/>
    <col min="8188" max="8188" width="14.3984375" style="4" bestFit="1" customWidth="1"/>
    <col min="8189" max="8189" width="12.1328125" style="4" bestFit="1" customWidth="1"/>
    <col min="8190" max="8190" width="12.3984375" style="4" bestFit="1" customWidth="1"/>
    <col min="8191" max="8192" width="13.86328125" style="4" bestFit="1" customWidth="1"/>
    <col min="8193" max="8193" width="14.86328125" style="4" bestFit="1" customWidth="1"/>
    <col min="8194" max="8194" width="12.1328125" style="4" bestFit="1" customWidth="1"/>
    <col min="8195" max="8195" width="12.3984375" style="4" bestFit="1" customWidth="1"/>
    <col min="8196" max="8197" width="13.86328125" style="4" bestFit="1" customWidth="1"/>
    <col min="8198" max="8198" width="14.86328125" style="4" bestFit="1" customWidth="1"/>
    <col min="8199" max="8437" width="9.1328125" style="4"/>
    <col min="8438" max="8438" width="15.3984375" style="4" bestFit="1" customWidth="1"/>
    <col min="8439" max="8439" width="11.1328125" style="4" bestFit="1" customWidth="1"/>
    <col min="8440" max="8440" width="14.59765625" style="4" bestFit="1" customWidth="1"/>
    <col min="8441" max="8441" width="17.3984375" style="4" bestFit="1" customWidth="1"/>
    <col min="8442" max="8442" width="17.59765625" style="4" bestFit="1" customWidth="1"/>
    <col min="8443" max="8443" width="14.73046875" style="4" bestFit="1" customWidth="1"/>
    <col min="8444" max="8444" width="14.3984375" style="4" bestFit="1" customWidth="1"/>
    <col min="8445" max="8445" width="12.1328125" style="4" bestFit="1" customWidth="1"/>
    <col min="8446" max="8446" width="12.3984375" style="4" bestFit="1" customWidth="1"/>
    <col min="8447" max="8448" width="13.86328125" style="4" bestFit="1" customWidth="1"/>
    <col min="8449" max="8449" width="14.86328125" style="4" bestFit="1" customWidth="1"/>
    <col min="8450" max="8450" width="12.1328125" style="4" bestFit="1" customWidth="1"/>
    <col min="8451" max="8451" width="12.3984375" style="4" bestFit="1" customWidth="1"/>
    <col min="8452" max="8453" width="13.86328125" style="4" bestFit="1" customWidth="1"/>
    <col min="8454" max="8454" width="14.86328125" style="4" bestFit="1" customWidth="1"/>
    <col min="8455" max="8693" width="9.1328125" style="4"/>
    <col min="8694" max="8694" width="15.3984375" style="4" bestFit="1" customWidth="1"/>
    <col min="8695" max="8695" width="11.1328125" style="4" bestFit="1" customWidth="1"/>
    <col min="8696" max="8696" width="14.59765625" style="4" bestFit="1" customWidth="1"/>
    <col min="8697" max="8697" width="17.3984375" style="4" bestFit="1" customWidth="1"/>
    <col min="8698" max="8698" width="17.59765625" style="4" bestFit="1" customWidth="1"/>
    <col min="8699" max="8699" width="14.73046875" style="4" bestFit="1" customWidth="1"/>
    <col min="8700" max="8700" width="14.3984375" style="4" bestFit="1" customWidth="1"/>
    <col min="8701" max="8701" width="12.1328125" style="4" bestFit="1" customWidth="1"/>
    <col min="8702" max="8702" width="12.3984375" style="4" bestFit="1" customWidth="1"/>
    <col min="8703" max="8704" width="13.86328125" style="4" bestFit="1" customWidth="1"/>
    <col min="8705" max="8705" width="14.86328125" style="4" bestFit="1" customWidth="1"/>
    <col min="8706" max="8706" width="12.1328125" style="4" bestFit="1" customWidth="1"/>
    <col min="8707" max="8707" width="12.3984375" style="4" bestFit="1" customWidth="1"/>
    <col min="8708" max="8709" width="13.86328125" style="4" bestFit="1" customWidth="1"/>
    <col min="8710" max="8710" width="14.86328125" style="4" bestFit="1" customWidth="1"/>
    <col min="8711" max="8949" width="9.1328125" style="4"/>
    <col min="8950" max="8950" width="15.3984375" style="4" bestFit="1" customWidth="1"/>
    <col min="8951" max="8951" width="11.1328125" style="4" bestFit="1" customWidth="1"/>
    <col min="8952" max="8952" width="14.59765625" style="4" bestFit="1" customWidth="1"/>
    <col min="8953" max="8953" width="17.3984375" style="4" bestFit="1" customWidth="1"/>
    <col min="8954" max="8954" width="17.59765625" style="4" bestFit="1" customWidth="1"/>
    <col min="8955" max="8955" width="14.73046875" style="4" bestFit="1" customWidth="1"/>
    <col min="8956" max="8956" width="14.3984375" style="4" bestFit="1" customWidth="1"/>
    <col min="8957" max="8957" width="12.1328125" style="4" bestFit="1" customWidth="1"/>
    <col min="8958" max="8958" width="12.3984375" style="4" bestFit="1" customWidth="1"/>
    <col min="8959" max="8960" width="13.86328125" style="4" bestFit="1" customWidth="1"/>
    <col min="8961" max="8961" width="14.86328125" style="4" bestFit="1" customWidth="1"/>
    <col min="8962" max="8962" width="12.1328125" style="4" bestFit="1" customWidth="1"/>
    <col min="8963" max="8963" width="12.3984375" style="4" bestFit="1" customWidth="1"/>
    <col min="8964" max="8965" width="13.86328125" style="4" bestFit="1" customWidth="1"/>
    <col min="8966" max="8966" width="14.86328125" style="4" bestFit="1" customWidth="1"/>
    <col min="8967" max="9205" width="9.1328125" style="4"/>
    <col min="9206" max="9206" width="15.3984375" style="4" bestFit="1" customWidth="1"/>
    <col min="9207" max="9207" width="11.1328125" style="4" bestFit="1" customWidth="1"/>
    <col min="9208" max="9208" width="14.59765625" style="4" bestFit="1" customWidth="1"/>
    <col min="9209" max="9209" width="17.3984375" style="4" bestFit="1" customWidth="1"/>
    <col min="9210" max="9210" width="17.59765625" style="4" bestFit="1" customWidth="1"/>
    <col min="9211" max="9211" width="14.73046875" style="4" bestFit="1" customWidth="1"/>
    <col min="9212" max="9212" width="14.3984375" style="4" bestFit="1" customWidth="1"/>
    <col min="9213" max="9213" width="12.1328125" style="4" bestFit="1" customWidth="1"/>
    <col min="9214" max="9214" width="12.3984375" style="4" bestFit="1" customWidth="1"/>
    <col min="9215" max="9216" width="13.86328125" style="4" bestFit="1" customWidth="1"/>
    <col min="9217" max="9217" width="14.86328125" style="4" bestFit="1" customWidth="1"/>
    <col min="9218" max="9218" width="12.1328125" style="4" bestFit="1" customWidth="1"/>
    <col min="9219" max="9219" width="12.3984375" style="4" bestFit="1" customWidth="1"/>
    <col min="9220" max="9221" width="13.86328125" style="4" bestFit="1" customWidth="1"/>
    <col min="9222" max="9222" width="14.86328125" style="4" bestFit="1" customWidth="1"/>
    <col min="9223" max="9461" width="9.1328125" style="4"/>
    <col min="9462" max="9462" width="15.3984375" style="4" bestFit="1" customWidth="1"/>
    <col min="9463" max="9463" width="11.1328125" style="4" bestFit="1" customWidth="1"/>
    <col min="9464" max="9464" width="14.59765625" style="4" bestFit="1" customWidth="1"/>
    <col min="9465" max="9465" width="17.3984375" style="4" bestFit="1" customWidth="1"/>
    <col min="9466" max="9466" width="17.59765625" style="4" bestFit="1" customWidth="1"/>
    <col min="9467" max="9467" width="14.73046875" style="4" bestFit="1" customWidth="1"/>
    <col min="9468" max="9468" width="14.3984375" style="4" bestFit="1" customWidth="1"/>
    <col min="9469" max="9469" width="12.1328125" style="4" bestFit="1" customWidth="1"/>
    <col min="9470" max="9470" width="12.3984375" style="4" bestFit="1" customWidth="1"/>
    <col min="9471" max="9472" width="13.86328125" style="4" bestFit="1" customWidth="1"/>
    <col min="9473" max="9473" width="14.86328125" style="4" bestFit="1" customWidth="1"/>
    <col min="9474" max="9474" width="12.1328125" style="4" bestFit="1" customWidth="1"/>
    <col min="9475" max="9475" width="12.3984375" style="4" bestFit="1" customWidth="1"/>
    <col min="9476" max="9477" width="13.86328125" style="4" bestFit="1" customWidth="1"/>
    <col min="9478" max="9478" width="14.86328125" style="4" bestFit="1" customWidth="1"/>
    <col min="9479" max="9717" width="9.1328125" style="4"/>
    <col min="9718" max="9718" width="15.3984375" style="4" bestFit="1" customWidth="1"/>
    <col min="9719" max="9719" width="11.1328125" style="4" bestFit="1" customWidth="1"/>
    <col min="9720" max="9720" width="14.59765625" style="4" bestFit="1" customWidth="1"/>
    <col min="9721" max="9721" width="17.3984375" style="4" bestFit="1" customWidth="1"/>
    <col min="9722" max="9722" width="17.59765625" style="4" bestFit="1" customWidth="1"/>
    <col min="9723" max="9723" width="14.73046875" style="4" bestFit="1" customWidth="1"/>
    <col min="9724" max="9724" width="14.3984375" style="4" bestFit="1" customWidth="1"/>
    <col min="9725" max="9725" width="12.1328125" style="4" bestFit="1" customWidth="1"/>
    <col min="9726" max="9726" width="12.3984375" style="4" bestFit="1" customWidth="1"/>
    <col min="9727" max="9728" width="13.86328125" style="4" bestFit="1" customWidth="1"/>
    <col min="9729" max="9729" width="14.86328125" style="4" bestFit="1" customWidth="1"/>
    <col min="9730" max="9730" width="12.1328125" style="4" bestFit="1" customWidth="1"/>
    <col min="9731" max="9731" width="12.3984375" style="4" bestFit="1" customWidth="1"/>
    <col min="9732" max="9733" width="13.86328125" style="4" bestFit="1" customWidth="1"/>
    <col min="9734" max="9734" width="14.86328125" style="4" bestFit="1" customWidth="1"/>
    <col min="9735" max="9973" width="9.1328125" style="4"/>
    <col min="9974" max="9974" width="15.3984375" style="4" bestFit="1" customWidth="1"/>
    <col min="9975" max="9975" width="11.1328125" style="4" bestFit="1" customWidth="1"/>
    <col min="9976" max="9976" width="14.59765625" style="4" bestFit="1" customWidth="1"/>
    <col min="9977" max="9977" width="17.3984375" style="4" bestFit="1" customWidth="1"/>
    <col min="9978" max="9978" width="17.59765625" style="4" bestFit="1" customWidth="1"/>
    <col min="9979" max="9979" width="14.73046875" style="4" bestFit="1" customWidth="1"/>
    <col min="9980" max="9980" width="14.3984375" style="4" bestFit="1" customWidth="1"/>
    <col min="9981" max="9981" width="12.1328125" style="4" bestFit="1" customWidth="1"/>
    <col min="9982" max="9982" width="12.3984375" style="4" bestFit="1" customWidth="1"/>
    <col min="9983" max="9984" width="13.86328125" style="4" bestFit="1" customWidth="1"/>
    <col min="9985" max="9985" width="14.86328125" style="4" bestFit="1" customWidth="1"/>
    <col min="9986" max="9986" width="12.1328125" style="4" bestFit="1" customWidth="1"/>
    <col min="9987" max="9987" width="12.3984375" style="4" bestFit="1" customWidth="1"/>
    <col min="9988" max="9989" width="13.86328125" style="4" bestFit="1" customWidth="1"/>
    <col min="9990" max="9990" width="14.86328125" style="4" bestFit="1" customWidth="1"/>
    <col min="9991" max="10229" width="9.1328125" style="4"/>
    <col min="10230" max="10230" width="15.3984375" style="4" bestFit="1" customWidth="1"/>
    <col min="10231" max="10231" width="11.1328125" style="4" bestFit="1" customWidth="1"/>
    <col min="10232" max="10232" width="14.59765625" style="4" bestFit="1" customWidth="1"/>
    <col min="10233" max="10233" width="17.3984375" style="4" bestFit="1" customWidth="1"/>
    <col min="10234" max="10234" width="17.59765625" style="4" bestFit="1" customWidth="1"/>
    <col min="10235" max="10235" width="14.73046875" style="4" bestFit="1" customWidth="1"/>
    <col min="10236" max="10236" width="14.3984375" style="4" bestFit="1" customWidth="1"/>
    <col min="10237" max="10237" width="12.1328125" style="4" bestFit="1" customWidth="1"/>
    <col min="10238" max="10238" width="12.3984375" style="4" bestFit="1" customWidth="1"/>
    <col min="10239" max="10240" width="13.86328125" style="4" bestFit="1" customWidth="1"/>
    <col min="10241" max="10241" width="14.86328125" style="4" bestFit="1" customWidth="1"/>
    <col min="10242" max="10242" width="12.1328125" style="4" bestFit="1" customWidth="1"/>
    <col min="10243" max="10243" width="12.3984375" style="4" bestFit="1" customWidth="1"/>
    <col min="10244" max="10245" width="13.86328125" style="4" bestFit="1" customWidth="1"/>
    <col min="10246" max="10246" width="14.86328125" style="4" bestFit="1" customWidth="1"/>
    <col min="10247" max="10485" width="9.1328125" style="4"/>
    <col min="10486" max="10486" width="15.3984375" style="4" bestFit="1" customWidth="1"/>
    <col min="10487" max="10487" width="11.1328125" style="4" bestFit="1" customWidth="1"/>
    <col min="10488" max="10488" width="14.59765625" style="4" bestFit="1" customWidth="1"/>
    <col min="10489" max="10489" width="17.3984375" style="4" bestFit="1" customWidth="1"/>
    <col min="10490" max="10490" width="17.59765625" style="4" bestFit="1" customWidth="1"/>
    <col min="10491" max="10491" width="14.73046875" style="4" bestFit="1" customWidth="1"/>
    <col min="10492" max="10492" width="14.3984375" style="4" bestFit="1" customWidth="1"/>
    <col min="10493" max="10493" width="12.1328125" style="4" bestFit="1" customWidth="1"/>
    <col min="10494" max="10494" width="12.3984375" style="4" bestFit="1" customWidth="1"/>
    <col min="10495" max="10496" width="13.86328125" style="4" bestFit="1" customWidth="1"/>
    <col min="10497" max="10497" width="14.86328125" style="4" bestFit="1" customWidth="1"/>
    <col min="10498" max="10498" width="12.1328125" style="4" bestFit="1" customWidth="1"/>
    <col min="10499" max="10499" width="12.3984375" style="4" bestFit="1" customWidth="1"/>
    <col min="10500" max="10501" width="13.86328125" style="4" bestFit="1" customWidth="1"/>
    <col min="10502" max="10502" width="14.86328125" style="4" bestFit="1" customWidth="1"/>
    <col min="10503" max="10741" width="9.1328125" style="4"/>
    <col min="10742" max="10742" width="15.3984375" style="4" bestFit="1" customWidth="1"/>
    <col min="10743" max="10743" width="11.1328125" style="4" bestFit="1" customWidth="1"/>
    <col min="10744" max="10744" width="14.59765625" style="4" bestFit="1" customWidth="1"/>
    <col min="10745" max="10745" width="17.3984375" style="4" bestFit="1" customWidth="1"/>
    <col min="10746" max="10746" width="17.59765625" style="4" bestFit="1" customWidth="1"/>
    <col min="10747" max="10747" width="14.73046875" style="4" bestFit="1" customWidth="1"/>
    <col min="10748" max="10748" width="14.3984375" style="4" bestFit="1" customWidth="1"/>
    <col min="10749" max="10749" width="12.1328125" style="4" bestFit="1" customWidth="1"/>
    <col min="10750" max="10750" width="12.3984375" style="4" bestFit="1" customWidth="1"/>
    <col min="10751" max="10752" width="13.86328125" style="4" bestFit="1" customWidth="1"/>
    <col min="10753" max="10753" width="14.86328125" style="4" bestFit="1" customWidth="1"/>
    <col min="10754" max="10754" width="12.1328125" style="4" bestFit="1" customWidth="1"/>
    <col min="10755" max="10755" width="12.3984375" style="4" bestFit="1" customWidth="1"/>
    <col min="10756" max="10757" width="13.86328125" style="4" bestFit="1" customWidth="1"/>
    <col min="10758" max="10758" width="14.86328125" style="4" bestFit="1" customWidth="1"/>
    <col min="10759" max="10997" width="9.1328125" style="4"/>
    <col min="10998" max="10998" width="15.3984375" style="4" bestFit="1" customWidth="1"/>
    <col min="10999" max="10999" width="11.1328125" style="4" bestFit="1" customWidth="1"/>
    <col min="11000" max="11000" width="14.59765625" style="4" bestFit="1" customWidth="1"/>
    <col min="11001" max="11001" width="17.3984375" style="4" bestFit="1" customWidth="1"/>
    <col min="11002" max="11002" width="17.59765625" style="4" bestFit="1" customWidth="1"/>
    <col min="11003" max="11003" width="14.73046875" style="4" bestFit="1" customWidth="1"/>
    <col min="11004" max="11004" width="14.3984375" style="4" bestFit="1" customWidth="1"/>
    <col min="11005" max="11005" width="12.1328125" style="4" bestFit="1" customWidth="1"/>
    <col min="11006" max="11006" width="12.3984375" style="4" bestFit="1" customWidth="1"/>
    <col min="11007" max="11008" width="13.86328125" style="4" bestFit="1" customWidth="1"/>
    <col min="11009" max="11009" width="14.86328125" style="4" bestFit="1" customWidth="1"/>
    <col min="11010" max="11010" width="12.1328125" style="4" bestFit="1" customWidth="1"/>
    <col min="11011" max="11011" width="12.3984375" style="4" bestFit="1" customWidth="1"/>
    <col min="11012" max="11013" width="13.86328125" style="4" bestFit="1" customWidth="1"/>
    <col min="11014" max="11014" width="14.86328125" style="4" bestFit="1" customWidth="1"/>
    <col min="11015" max="11253" width="9.1328125" style="4"/>
    <col min="11254" max="11254" width="15.3984375" style="4" bestFit="1" customWidth="1"/>
    <col min="11255" max="11255" width="11.1328125" style="4" bestFit="1" customWidth="1"/>
    <col min="11256" max="11256" width="14.59765625" style="4" bestFit="1" customWidth="1"/>
    <col min="11257" max="11257" width="17.3984375" style="4" bestFit="1" customWidth="1"/>
    <col min="11258" max="11258" width="17.59765625" style="4" bestFit="1" customWidth="1"/>
    <col min="11259" max="11259" width="14.73046875" style="4" bestFit="1" customWidth="1"/>
    <col min="11260" max="11260" width="14.3984375" style="4" bestFit="1" customWidth="1"/>
    <col min="11261" max="11261" width="12.1328125" style="4" bestFit="1" customWidth="1"/>
    <col min="11262" max="11262" width="12.3984375" style="4" bestFit="1" customWidth="1"/>
    <col min="11263" max="11264" width="13.86328125" style="4" bestFit="1" customWidth="1"/>
    <col min="11265" max="11265" width="14.86328125" style="4" bestFit="1" customWidth="1"/>
    <col min="11266" max="11266" width="12.1328125" style="4" bestFit="1" customWidth="1"/>
    <col min="11267" max="11267" width="12.3984375" style="4" bestFit="1" customWidth="1"/>
    <col min="11268" max="11269" width="13.86328125" style="4" bestFit="1" customWidth="1"/>
    <col min="11270" max="11270" width="14.86328125" style="4" bestFit="1" customWidth="1"/>
    <col min="11271" max="11509" width="9.1328125" style="4"/>
    <col min="11510" max="11510" width="15.3984375" style="4" bestFit="1" customWidth="1"/>
    <col min="11511" max="11511" width="11.1328125" style="4" bestFit="1" customWidth="1"/>
    <col min="11512" max="11512" width="14.59765625" style="4" bestFit="1" customWidth="1"/>
    <col min="11513" max="11513" width="17.3984375" style="4" bestFit="1" customWidth="1"/>
    <col min="11514" max="11514" width="17.59765625" style="4" bestFit="1" customWidth="1"/>
    <col min="11515" max="11515" width="14.73046875" style="4" bestFit="1" customWidth="1"/>
    <col min="11516" max="11516" width="14.3984375" style="4" bestFit="1" customWidth="1"/>
    <col min="11517" max="11517" width="12.1328125" style="4" bestFit="1" customWidth="1"/>
    <col min="11518" max="11518" width="12.3984375" style="4" bestFit="1" customWidth="1"/>
    <col min="11519" max="11520" width="13.86328125" style="4" bestFit="1" customWidth="1"/>
    <col min="11521" max="11521" width="14.86328125" style="4" bestFit="1" customWidth="1"/>
    <col min="11522" max="11522" width="12.1328125" style="4" bestFit="1" customWidth="1"/>
    <col min="11523" max="11523" width="12.3984375" style="4" bestFit="1" customWidth="1"/>
    <col min="11524" max="11525" width="13.86328125" style="4" bestFit="1" customWidth="1"/>
    <col min="11526" max="11526" width="14.86328125" style="4" bestFit="1" customWidth="1"/>
    <col min="11527" max="11765" width="9.1328125" style="4"/>
    <col min="11766" max="11766" width="15.3984375" style="4" bestFit="1" customWidth="1"/>
    <col min="11767" max="11767" width="11.1328125" style="4" bestFit="1" customWidth="1"/>
    <col min="11768" max="11768" width="14.59765625" style="4" bestFit="1" customWidth="1"/>
    <col min="11769" max="11769" width="17.3984375" style="4" bestFit="1" customWidth="1"/>
    <col min="11770" max="11770" width="17.59765625" style="4" bestFit="1" customWidth="1"/>
    <col min="11771" max="11771" width="14.73046875" style="4" bestFit="1" customWidth="1"/>
    <col min="11772" max="11772" width="14.3984375" style="4" bestFit="1" customWidth="1"/>
    <col min="11773" max="11773" width="12.1328125" style="4" bestFit="1" customWidth="1"/>
    <col min="11774" max="11774" width="12.3984375" style="4" bestFit="1" customWidth="1"/>
    <col min="11775" max="11776" width="13.86328125" style="4" bestFit="1" customWidth="1"/>
    <col min="11777" max="11777" width="14.86328125" style="4" bestFit="1" customWidth="1"/>
    <col min="11778" max="11778" width="12.1328125" style="4" bestFit="1" customWidth="1"/>
    <col min="11779" max="11779" width="12.3984375" style="4" bestFit="1" customWidth="1"/>
    <col min="11780" max="11781" width="13.86328125" style="4" bestFit="1" customWidth="1"/>
    <col min="11782" max="11782" width="14.86328125" style="4" bestFit="1" customWidth="1"/>
    <col min="11783" max="12021" width="9.1328125" style="4"/>
    <col min="12022" max="12022" width="15.3984375" style="4" bestFit="1" customWidth="1"/>
    <col min="12023" max="12023" width="11.1328125" style="4" bestFit="1" customWidth="1"/>
    <col min="12024" max="12024" width="14.59765625" style="4" bestFit="1" customWidth="1"/>
    <col min="12025" max="12025" width="17.3984375" style="4" bestFit="1" customWidth="1"/>
    <col min="12026" max="12026" width="17.59765625" style="4" bestFit="1" customWidth="1"/>
    <col min="12027" max="12027" width="14.73046875" style="4" bestFit="1" customWidth="1"/>
    <col min="12028" max="12028" width="14.3984375" style="4" bestFit="1" customWidth="1"/>
    <col min="12029" max="12029" width="12.1328125" style="4" bestFit="1" customWidth="1"/>
    <col min="12030" max="12030" width="12.3984375" style="4" bestFit="1" customWidth="1"/>
    <col min="12031" max="12032" width="13.86328125" style="4" bestFit="1" customWidth="1"/>
    <col min="12033" max="12033" width="14.86328125" style="4" bestFit="1" customWidth="1"/>
    <col min="12034" max="12034" width="12.1328125" style="4" bestFit="1" customWidth="1"/>
    <col min="12035" max="12035" width="12.3984375" style="4" bestFit="1" customWidth="1"/>
    <col min="12036" max="12037" width="13.86328125" style="4" bestFit="1" customWidth="1"/>
    <col min="12038" max="12038" width="14.86328125" style="4" bestFit="1" customWidth="1"/>
    <col min="12039" max="12277" width="9.1328125" style="4"/>
    <col min="12278" max="12278" width="15.3984375" style="4" bestFit="1" customWidth="1"/>
    <col min="12279" max="12279" width="11.1328125" style="4" bestFit="1" customWidth="1"/>
    <col min="12280" max="12280" width="14.59765625" style="4" bestFit="1" customWidth="1"/>
    <col min="12281" max="12281" width="17.3984375" style="4" bestFit="1" customWidth="1"/>
    <col min="12282" max="12282" width="17.59765625" style="4" bestFit="1" customWidth="1"/>
    <col min="12283" max="12283" width="14.73046875" style="4" bestFit="1" customWidth="1"/>
    <col min="12284" max="12284" width="14.3984375" style="4" bestFit="1" customWidth="1"/>
    <col min="12285" max="12285" width="12.1328125" style="4" bestFit="1" customWidth="1"/>
    <col min="12286" max="12286" width="12.3984375" style="4" bestFit="1" customWidth="1"/>
    <col min="12287" max="12288" width="13.86328125" style="4" bestFit="1" customWidth="1"/>
    <col min="12289" max="12289" width="14.86328125" style="4" bestFit="1" customWidth="1"/>
    <col min="12290" max="12290" width="12.1328125" style="4" bestFit="1" customWidth="1"/>
    <col min="12291" max="12291" width="12.3984375" style="4" bestFit="1" customWidth="1"/>
    <col min="12292" max="12293" width="13.86328125" style="4" bestFit="1" customWidth="1"/>
    <col min="12294" max="12294" width="14.86328125" style="4" bestFit="1" customWidth="1"/>
    <col min="12295" max="12533" width="9.1328125" style="4"/>
    <col min="12534" max="12534" width="15.3984375" style="4" bestFit="1" customWidth="1"/>
    <col min="12535" max="12535" width="11.1328125" style="4" bestFit="1" customWidth="1"/>
    <col min="12536" max="12536" width="14.59765625" style="4" bestFit="1" customWidth="1"/>
    <col min="12537" max="12537" width="17.3984375" style="4" bestFit="1" customWidth="1"/>
    <col min="12538" max="12538" width="17.59765625" style="4" bestFit="1" customWidth="1"/>
    <col min="12539" max="12539" width="14.73046875" style="4" bestFit="1" customWidth="1"/>
    <col min="12540" max="12540" width="14.3984375" style="4" bestFit="1" customWidth="1"/>
    <col min="12541" max="12541" width="12.1328125" style="4" bestFit="1" customWidth="1"/>
    <col min="12542" max="12542" width="12.3984375" style="4" bestFit="1" customWidth="1"/>
    <col min="12543" max="12544" width="13.86328125" style="4" bestFit="1" customWidth="1"/>
    <col min="12545" max="12545" width="14.86328125" style="4" bestFit="1" customWidth="1"/>
    <col min="12546" max="12546" width="12.1328125" style="4" bestFit="1" customWidth="1"/>
    <col min="12547" max="12547" width="12.3984375" style="4" bestFit="1" customWidth="1"/>
    <col min="12548" max="12549" width="13.86328125" style="4" bestFit="1" customWidth="1"/>
    <col min="12550" max="12550" width="14.86328125" style="4" bestFit="1" customWidth="1"/>
    <col min="12551" max="12789" width="9.1328125" style="4"/>
    <col min="12790" max="12790" width="15.3984375" style="4" bestFit="1" customWidth="1"/>
    <col min="12791" max="12791" width="11.1328125" style="4" bestFit="1" customWidth="1"/>
    <col min="12792" max="12792" width="14.59765625" style="4" bestFit="1" customWidth="1"/>
    <col min="12793" max="12793" width="17.3984375" style="4" bestFit="1" customWidth="1"/>
    <col min="12794" max="12794" width="17.59765625" style="4" bestFit="1" customWidth="1"/>
    <col min="12795" max="12795" width="14.73046875" style="4" bestFit="1" customWidth="1"/>
    <col min="12796" max="12796" width="14.3984375" style="4" bestFit="1" customWidth="1"/>
    <col min="12797" max="12797" width="12.1328125" style="4" bestFit="1" customWidth="1"/>
    <col min="12798" max="12798" width="12.3984375" style="4" bestFit="1" customWidth="1"/>
    <col min="12799" max="12800" width="13.86328125" style="4" bestFit="1" customWidth="1"/>
    <col min="12801" max="12801" width="14.86328125" style="4" bestFit="1" customWidth="1"/>
    <col min="12802" max="12802" width="12.1328125" style="4" bestFit="1" customWidth="1"/>
    <col min="12803" max="12803" width="12.3984375" style="4" bestFit="1" customWidth="1"/>
    <col min="12804" max="12805" width="13.86328125" style="4" bestFit="1" customWidth="1"/>
    <col min="12806" max="12806" width="14.86328125" style="4" bestFit="1" customWidth="1"/>
    <col min="12807" max="13045" width="9.1328125" style="4"/>
    <col min="13046" max="13046" width="15.3984375" style="4" bestFit="1" customWidth="1"/>
    <col min="13047" max="13047" width="11.1328125" style="4" bestFit="1" customWidth="1"/>
    <col min="13048" max="13048" width="14.59765625" style="4" bestFit="1" customWidth="1"/>
    <col min="13049" max="13049" width="17.3984375" style="4" bestFit="1" customWidth="1"/>
    <col min="13050" max="13050" width="17.59765625" style="4" bestFit="1" customWidth="1"/>
    <col min="13051" max="13051" width="14.73046875" style="4" bestFit="1" customWidth="1"/>
    <col min="13052" max="13052" width="14.3984375" style="4" bestFit="1" customWidth="1"/>
    <col min="13053" max="13053" width="12.1328125" style="4" bestFit="1" customWidth="1"/>
    <col min="13054" max="13054" width="12.3984375" style="4" bestFit="1" customWidth="1"/>
    <col min="13055" max="13056" width="13.86328125" style="4" bestFit="1" customWidth="1"/>
    <col min="13057" max="13057" width="14.86328125" style="4" bestFit="1" customWidth="1"/>
    <col min="13058" max="13058" width="12.1328125" style="4" bestFit="1" customWidth="1"/>
    <col min="13059" max="13059" width="12.3984375" style="4" bestFit="1" customWidth="1"/>
    <col min="13060" max="13061" width="13.86328125" style="4" bestFit="1" customWidth="1"/>
    <col min="13062" max="13062" width="14.86328125" style="4" bestFit="1" customWidth="1"/>
    <col min="13063" max="13301" width="9.1328125" style="4"/>
    <col min="13302" max="13302" width="15.3984375" style="4" bestFit="1" customWidth="1"/>
    <col min="13303" max="13303" width="11.1328125" style="4" bestFit="1" customWidth="1"/>
    <col min="13304" max="13304" width="14.59765625" style="4" bestFit="1" customWidth="1"/>
    <col min="13305" max="13305" width="17.3984375" style="4" bestFit="1" customWidth="1"/>
    <col min="13306" max="13306" width="17.59765625" style="4" bestFit="1" customWidth="1"/>
    <col min="13307" max="13307" width="14.73046875" style="4" bestFit="1" customWidth="1"/>
    <col min="13308" max="13308" width="14.3984375" style="4" bestFit="1" customWidth="1"/>
    <col min="13309" max="13309" width="12.1328125" style="4" bestFit="1" customWidth="1"/>
    <col min="13310" max="13310" width="12.3984375" style="4" bestFit="1" customWidth="1"/>
    <col min="13311" max="13312" width="13.86328125" style="4" bestFit="1" customWidth="1"/>
    <col min="13313" max="13313" width="14.86328125" style="4" bestFit="1" customWidth="1"/>
    <col min="13314" max="13314" width="12.1328125" style="4" bestFit="1" customWidth="1"/>
    <col min="13315" max="13315" width="12.3984375" style="4" bestFit="1" customWidth="1"/>
    <col min="13316" max="13317" width="13.86328125" style="4" bestFit="1" customWidth="1"/>
    <col min="13318" max="13318" width="14.86328125" style="4" bestFit="1" customWidth="1"/>
    <col min="13319" max="13557" width="9.1328125" style="4"/>
    <col min="13558" max="13558" width="15.3984375" style="4" bestFit="1" customWidth="1"/>
    <col min="13559" max="13559" width="11.1328125" style="4" bestFit="1" customWidth="1"/>
    <col min="13560" max="13560" width="14.59765625" style="4" bestFit="1" customWidth="1"/>
    <col min="13561" max="13561" width="17.3984375" style="4" bestFit="1" customWidth="1"/>
    <col min="13562" max="13562" width="17.59765625" style="4" bestFit="1" customWidth="1"/>
    <col min="13563" max="13563" width="14.73046875" style="4" bestFit="1" customWidth="1"/>
    <col min="13564" max="13564" width="14.3984375" style="4" bestFit="1" customWidth="1"/>
    <col min="13565" max="13565" width="12.1328125" style="4" bestFit="1" customWidth="1"/>
    <col min="13566" max="13566" width="12.3984375" style="4" bestFit="1" customWidth="1"/>
    <col min="13567" max="13568" width="13.86328125" style="4" bestFit="1" customWidth="1"/>
    <col min="13569" max="13569" width="14.86328125" style="4" bestFit="1" customWidth="1"/>
    <col min="13570" max="13570" width="12.1328125" style="4" bestFit="1" customWidth="1"/>
    <col min="13571" max="13571" width="12.3984375" style="4" bestFit="1" customWidth="1"/>
    <col min="13572" max="13573" width="13.86328125" style="4" bestFit="1" customWidth="1"/>
    <col min="13574" max="13574" width="14.86328125" style="4" bestFit="1" customWidth="1"/>
    <col min="13575" max="13813" width="9.1328125" style="4"/>
    <col min="13814" max="13814" width="15.3984375" style="4" bestFit="1" customWidth="1"/>
    <col min="13815" max="13815" width="11.1328125" style="4" bestFit="1" customWidth="1"/>
    <col min="13816" max="13816" width="14.59765625" style="4" bestFit="1" customWidth="1"/>
    <col min="13817" max="13817" width="17.3984375" style="4" bestFit="1" customWidth="1"/>
    <col min="13818" max="13818" width="17.59765625" style="4" bestFit="1" customWidth="1"/>
    <col min="13819" max="13819" width="14.73046875" style="4" bestFit="1" customWidth="1"/>
    <col min="13820" max="13820" width="14.3984375" style="4" bestFit="1" customWidth="1"/>
    <col min="13821" max="13821" width="12.1328125" style="4" bestFit="1" customWidth="1"/>
    <col min="13822" max="13822" width="12.3984375" style="4" bestFit="1" customWidth="1"/>
    <col min="13823" max="13824" width="13.86328125" style="4" bestFit="1" customWidth="1"/>
    <col min="13825" max="13825" width="14.86328125" style="4" bestFit="1" customWidth="1"/>
    <col min="13826" max="13826" width="12.1328125" style="4" bestFit="1" customWidth="1"/>
    <col min="13827" max="13827" width="12.3984375" style="4" bestFit="1" customWidth="1"/>
    <col min="13828" max="13829" width="13.86328125" style="4" bestFit="1" customWidth="1"/>
    <col min="13830" max="13830" width="14.86328125" style="4" bestFit="1" customWidth="1"/>
    <col min="13831" max="14069" width="9.1328125" style="4"/>
    <col min="14070" max="14070" width="15.3984375" style="4" bestFit="1" customWidth="1"/>
    <col min="14071" max="14071" width="11.1328125" style="4" bestFit="1" customWidth="1"/>
    <col min="14072" max="14072" width="14.59765625" style="4" bestFit="1" customWidth="1"/>
    <col min="14073" max="14073" width="17.3984375" style="4" bestFit="1" customWidth="1"/>
    <col min="14074" max="14074" width="17.59765625" style="4" bestFit="1" customWidth="1"/>
    <col min="14075" max="14075" width="14.73046875" style="4" bestFit="1" customWidth="1"/>
    <col min="14076" max="14076" width="14.3984375" style="4" bestFit="1" customWidth="1"/>
    <col min="14077" max="14077" width="12.1328125" style="4" bestFit="1" customWidth="1"/>
    <col min="14078" max="14078" width="12.3984375" style="4" bestFit="1" customWidth="1"/>
    <col min="14079" max="14080" width="13.86328125" style="4" bestFit="1" customWidth="1"/>
    <col min="14081" max="14081" width="14.86328125" style="4" bestFit="1" customWidth="1"/>
    <col min="14082" max="14082" width="12.1328125" style="4" bestFit="1" customWidth="1"/>
    <col min="14083" max="14083" width="12.3984375" style="4" bestFit="1" customWidth="1"/>
    <col min="14084" max="14085" width="13.86328125" style="4" bestFit="1" customWidth="1"/>
    <col min="14086" max="14086" width="14.86328125" style="4" bestFit="1" customWidth="1"/>
    <col min="14087" max="14325" width="9.1328125" style="4"/>
    <col min="14326" max="14326" width="15.3984375" style="4" bestFit="1" customWidth="1"/>
    <col min="14327" max="14327" width="11.1328125" style="4" bestFit="1" customWidth="1"/>
    <col min="14328" max="14328" width="14.59765625" style="4" bestFit="1" customWidth="1"/>
    <col min="14329" max="14329" width="17.3984375" style="4" bestFit="1" customWidth="1"/>
    <col min="14330" max="14330" width="17.59765625" style="4" bestFit="1" customWidth="1"/>
    <col min="14331" max="14331" width="14.73046875" style="4" bestFit="1" customWidth="1"/>
    <col min="14332" max="14332" width="14.3984375" style="4" bestFit="1" customWidth="1"/>
    <col min="14333" max="14333" width="12.1328125" style="4" bestFit="1" customWidth="1"/>
    <col min="14334" max="14334" width="12.3984375" style="4" bestFit="1" customWidth="1"/>
    <col min="14335" max="14336" width="13.86328125" style="4" bestFit="1" customWidth="1"/>
    <col min="14337" max="14337" width="14.86328125" style="4" bestFit="1" customWidth="1"/>
    <col min="14338" max="14338" width="12.1328125" style="4" bestFit="1" customWidth="1"/>
    <col min="14339" max="14339" width="12.3984375" style="4" bestFit="1" customWidth="1"/>
    <col min="14340" max="14341" width="13.86328125" style="4" bestFit="1" customWidth="1"/>
    <col min="14342" max="14342" width="14.86328125" style="4" bestFit="1" customWidth="1"/>
    <col min="14343" max="14581" width="9.1328125" style="4"/>
    <col min="14582" max="14582" width="15.3984375" style="4" bestFit="1" customWidth="1"/>
    <col min="14583" max="14583" width="11.1328125" style="4" bestFit="1" customWidth="1"/>
    <col min="14584" max="14584" width="14.59765625" style="4" bestFit="1" customWidth="1"/>
    <col min="14585" max="14585" width="17.3984375" style="4" bestFit="1" customWidth="1"/>
    <col min="14586" max="14586" width="17.59765625" style="4" bestFit="1" customWidth="1"/>
    <col min="14587" max="14587" width="14.73046875" style="4" bestFit="1" customWidth="1"/>
    <col min="14588" max="14588" width="14.3984375" style="4" bestFit="1" customWidth="1"/>
    <col min="14589" max="14589" width="12.1328125" style="4" bestFit="1" customWidth="1"/>
    <col min="14590" max="14590" width="12.3984375" style="4" bestFit="1" customWidth="1"/>
    <col min="14591" max="14592" width="13.86328125" style="4" bestFit="1" customWidth="1"/>
    <col min="14593" max="14593" width="14.86328125" style="4" bestFit="1" customWidth="1"/>
    <col min="14594" max="14594" width="12.1328125" style="4" bestFit="1" customWidth="1"/>
    <col min="14595" max="14595" width="12.3984375" style="4" bestFit="1" customWidth="1"/>
    <col min="14596" max="14597" width="13.86328125" style="4" bestFit="1" customWidth="1"/>
    <col min="14598" max="14598" width="14.86328125" style="4" bestFit="1" customWidth="1"/>
    <col min="14599" max="14837" width="9.1328125" style="4"/>
    <col min="14838" max="14838" width="15.3984375" style="4" bestFit="1" customWidth="1"/>
    <col min="14839" max="14839" width="11.1328125" style="4" bestFit="1" customWidth="1"/>
    <col min="14840" max="14840" width="14.59765625" style="4" bestFit="1" customWidth="1"/>
    <col min="14841" max="14841" width="17.3984375" style="4" bestFit="1" customWidth="1"/>
    <col min="14842" max="14842" width="17.59765625" style="4" bestFit="1" customWidth="1"/>
    <col min="14843" max="14843" width="14.73046875" style="4" bestFit="1" customWidth="1"/>
    <col min="14844" max="14844" width="14.3984375" style="4" bestFit="1" customWidth="1"/>
    <col min="14845" max="14845" width="12.1328125" style="4" bestFit="1" customWidth="1"/>
    <col min="14846" max="14846" width="12.3984375" style="4" bestFit="1" customWidth="1"/>
    <col min="14847" max="14848" width="13.86328125" style="4" bestFit="1" customWidth="1"/>
    <col min="14849" max="14849" width="14.86328125" style="4" bestFit="1" customWidth="1"/>
    <col min="14850" max="14850" width="12.1328125" style="4" bestFit="1" customWidth="1"/>
    <col min="14851" max="14851" width="12.3984375" style="4" bestFit="1" customWidth="1"/>
    <col min="14852" max="14853" width="13.86328125" style="4" bestFit="1" customWidth="1"/>
    <col min="14854" max="14854" width="14.86328125" style="4" bestFit="1" customWidth="1"/>
    <col min="14855" max="15093" width="9.1328125" style="4"/>
    <col min="15094" max="15094" width="15.3984375" style="4" bestFit="1" customWidth="1"/>
    <col min="15095" max="15095" width="11.1328125" style="4" bestFit="1" customWidth="1"/>
    <col min="15096" max="15096" width="14.59765625" style="4" bestFit="1" customWidth="1"/>
    <col min="15097" max="15097" width="17.3984375" style="4" bestFit="1" customWidth="1"/>
    <col min="15098" max="15098" width="17.59765625" style="4" bestFit="1" customWidth="1"/>
    <col min="15099" max="15099" width="14.73046875" style="4" bestFit="1" customWidth="1"/>
    <col min="15100" max="15100" width="14.3984375" style="4" bestFit="1" customWidth="1"/>
    <col min="15101" max="15101" width="12.1328125" style="4" bestFit="1" customWidth="1"/>
    <col min="15102" max="15102" width="12.3984375" style="4" bestFit="1" customWidth="1"/>
    <col min="15103" max="15104" width="13.86328125" style="4" bestFit="1" customWidth="1"/>
    <col min="15105" max="15105" width="14.86328125" style="4" bestFit="1" customWidth="1"/>
    <col min="15106" max="15106" width="12.1328125" style="4" bestFit="1" customWidth="1"/>
    <col min="15107" max="15107" width="12.3984375" style="4" bestFit="1" customWidth="1"/>
    <col min="15108" max="15109" width="13.86328125" style="4" bestFit="1" customWidth="1"/>
    <col min="15110" max="15110" width="14.86328125" style="4" bestFit="1" customWidth="1"/>
    <col min="15111" max="15349" width="9.1328125" style="4"/>
    <col min="15350" max="15350" width="15.3984375" style="4" bestFit="1" customWidth="1"/>
    <col min="15351" max="15351" width="11.1328125" style="4" bestFit="1" customWidth="1"/>
    <col min="15352" max="15352" width="14.59765625" style="4" bestFit="1" customWidth="1"/>
    <col min="15353" max="15353" width="17.3984375" style="4" bestFit="1" customWidth="1"/>
    <col min="15354" max="15354" width="17.59765625" style="4" bestFit="1" customWidth="1"/>
    <col min="15355" max="15355" width="14.73046875" style="4" bestFit="1" customWidth="1"/>
    <col min="15356" max="15356" width="14.3984375" style="4" bestFit="1" customWidth="1"/>
    <col min="15357" max="15357" width="12.1328125" style="4" bestFit="1" customWidth="1"/>
    <col min="15358" max="15358" width="12.3984375" style="4" bestFit="1" customWidth="1"/>
    <col min="15359" max="15360" width="13.86328125" style="4" bestFit="1" customWidth="1"/>
    <col min="15361" max="15361" width="14.86328125" style="4" bestFit="1" customWidth="1"/>
    <col min="15362" max="15362" width="12.1328125" style="4" bestFit="1" customWidth="1"/>
    <col min="15363" max="15363" width="12.3984375" style="4" bestFit="1" customWidth="1"/>
    <col min="15364" max="15365" width="13.86328125" style="4" bestFit="1" customWidth="1"/>
    <col min="15366" max="15366" width="14.86328125" style="4" bestFit="1" customWidth="1"/>
    <col min="15367" max="15605" width="9.1328125" style="4"/>
    <col min="15606" max="15606" width="15.3984375" style="4" bestFit="1" customWidth="1"/>
    <col min="15607" max="15607" width="11.1328125" style="4" bestFit="1" customWidth="1"/>
    <col min="15608" max="15608" width="14.59765625" style="4" bestFit="1" customWidth="1"/>
    <col min="15609" max="15609" width="17.3984375" style="4" bestFit="1" customWidth="1"/>
    <col min="15610" max="15610" width="17.59765625" style="4" bestFit="1" customWidth="1"/>
    <col min="15611" max="15611" width="14.73046875" style="4" bestFit="1" customWidth="1"/>
    <col min="15612" max="15612" width="14.3984375" style="4" bestFit="1" customWidth="1"/>
    <col min="15613" max="15613" width="12.1328125" style="4" bestFit="1" customWidth="1"/>
    <col min="15614" max="15614" width="12.3984375" style="4" bestFit="1" customWidth="1"/>
    <col min="15615" max="15616" width="13.86328125" style="4" bestFit="1" customWidth="1"/>
    <col min="15617" max="15617" width="14.86328125" style="4" bestFit="1" customWidth="1"/>
    <col min="15618" max="15618" width="12.1328125" style="4" bestFit="1" customWidth="1"/>
    <col min="15619" max="15619" width="12.3984375" style="4" bestFit="1" customWidth="1"/>
    <col min="15620" max="15621" width="13.86328125" style="4" bestFit="1" customWidth="1"/>
    <col min="15622" max="15622" width="14.86328125" style="4" bestFit="1" customWidth="1"/>
    <col min="15623" max="15861" width="9.1328125" style="4"/>
    <col min="15862" max="15862" width="15.3984375" style="4" bestFit="1" customWidth="1"/>
    <col min="15863" max="15863" width="11.1328125" style="4" bestFit="1" customWidth="1"/>
    <col min="15864" max="15864" width="14.59765625" style="4" bestFit="1" customWidth="1"/>
    <col min="15865" max="15865" width="17.3984375" style="4" bestFit="1" customWidth="1"/>
    <col min="15866" max="15866" width="17.59765625" style="4" bestFit="1" customWidth="1"/>
    <col min="15867" max="15867" width="14.73046875" style="4" bestFit="1" customWidth="1"/>
    <col min="15868" max="15868" width="14.3984375" style="4" bestFit="1" customWidth="1"/>
    <col min="15869" max="15869" width="12.1328125" style="4" bestFit="1" customWidth="1"/>
    <col min="15870" max="15870" width="12.3984375" style="4" bestFit="1" customWidth="1"/>
    <col min="15871" max="15872" width="13.86328125" style="4" bestFit="1" customWidth="1"/>
    <col min="15873" max="15873" width="14.86328125" style="4" bestFit="1" customWidth="1"/>
    <col min="15874" max="15874" width="12.1328125" style="4" bestFit="1" customWidth="1"/>
    <col min="15875" max="15875" width="12.3984375" style="4" bestFit="1" customWidth="1"/>
    <col min="15876" max="15877" width="13.86328125" style="4" bestFit="1" customWidth="1"/>
    <col min="15878" max="15878" width="14.86328125" style="4" bestFit="1" customWidth="1"/>
    <col min="15879" max="16117" width="9.1328125" style="4"/>
    <col min="16118" max="16118" width="15.3984375" style="4" bestFit="1" customWidth="1"/>
    <col min="16119" max="16119" width="11.1328125" style="4" bestFit="1" customWidth="1"/>
    <col min="16120" max="16120" width="14.59765625" style="4" bestFit="1" customWidth="1"/>
    <col min="16121" max="16121" width="17.3984375" style="4" bestFit="1" customWidth="1"/>
    <col min="16122" max="16122" width="17.59765625" style="4" bestFit="1" customWidth="1"/>
    <col min="16123" max="16123" width="14.73046875" style="4" bestFit="1" customWidth="1"/>
    <col min="16124" max="16124" width="14.3984375" style="4" bestFit="1" customWidth="1"/>
    <col min="16125" max="16125" width="12.1328125" style="4" bestFit="1" customWidth="1"/>
    <col min="16126" max="16126" width="12.3984375" style="4" bestFit="1" customWidth="1"/>
    <col min="16127" max="16128" width="13.86328125" style="4" bestFit="1" customWidth="1"/>
    <col min="16129" max="16129" width="14.86328125" style="4" bestFit="1" customWidth="1"/>
    <col min="16130" max="16130" width="12.1328125" style="4" bestFit="1" customWidth="1"/>
    <col min="16131" max="16131" width="12.3984375" style="4" bestFit="1" customWidth="1"/>
    <col min="16132" max="16133" width="13.86328125" style="4" bestFit="1" customWidth="1"/>
    <col min="16134" max="16134" width="14.86328125" style="4" bestFit="1" customWidth="1"/>
    <col min="16135" max="16384" width="9.1328125" style="4"/>
  </cols>
  <sheetData>
    <row r="1" spans="1:8">
      <c r="A1" s="57" t="s">
        <v>323</v>
      </c>
      <c r="B1" s="87" t="s">
        <v>324</v>
      </c>
      <c r="C1" s="58" t="s">
        <v>232</v>
      </c>
      <c r="D1" s="58" t="s">
        <v>233</v>
      </c>
      <c r="E1" s="58" t="s">
        <v>234</v>
      </c>
      <c r="F1" s="58" t="s">
        <v>235</v>
      </c>
      <c r="G1" s="58" t="s">
        <v>236</v>
      </c>
      <c r="H1" s="58" t="s">
        <v>237</v>
      </c>
    </row>
    <row r="2" spans="1:8">
      <c r="A2" s="60" t="s">
        <v>5</v>
      </c>
      <c r="B2" s="76" t="s">
        <v>6</v>
      </c>
      <c r="C2" s="61">
        <f>IFERROR((st_DL/(k_decay_ow_state*Rad_Spec!V2*st_IFD_ow*st_EF_ow))*1,".")</f>
        <v>1.0677656153262893</v>
      </c>
      <c r="D2" s="61">
        <f>IFERROR((st_DL/(k_decay_ow_state*Rad_Spec!AN2*st_IRA_ow*(1/s_PEFm_pp_state)*st_SLF*st_ET_ow*st_EF_ow))*1,".")</f>
        <v>6.0938701901833842E-4</v>
      </c>
      <c r="E2" s="61">
        <f>IFERROR((st_DL/(k_decay_ow_state*Rad_Spec!AN2*st_IRA_ow*(1/s_PEF)*st_SLF*st_ET_ow*st_EF_ow))*1,".")</f>
        <v>5.6312577286435996E-2</v>
      </c>
      <c r="F2" s="61">
        <f>IFERROR((st_DL/(k_decay_ow_state*Rad_Spec!AY2*st_GSF_s*st_Fam*st_Foffset*acf!H2*st_ET_ow*(1/24)*st_EF_ow*(1/365)))*1,".")</f>
        <v>1486.2088149753049</v>
      </c>
      <c r="G2" s="61">
        <f t="shared" ref="G2" si="0">(IF(AND(C2&lt;&gt;".",E2&lt;&gt;".",F2&lt;&gt;"."),1/((1/C2)+(1/E2)+(1/F2)),IF(AND(C2&lt;&gt;".",E2&lt;&gt;".",F2="."), 1/((1/C2)+(1/E2)),IF(AND(C2&lt;&gt;".",E2=".",F2&lt;&gt;"."),1/((1/C2)+(1/F2)),IF(AND(C2=".",E2&lt;&gt;".",F2&lt;&gt;"."),1/((1/E2)+(1/F2)),IF(AND(C2&lt;&gt;".",E2=".",F2="."),1/(1/C2),IF(AND(C2=".",E2&lt;&gt;".",F2="."),1/(1/E2),IF(AND(C2=".",E2=".",F2&lt;&gt;"."),1/(1/F2),IF(AND(C2=".",E2=".",F2="."),".")))))))))</f>
        <v>5.3489579341622295E-2</v>
      </c>
      <c r="H2" s="61">
        <f t="shared" ref="H2" si="1">(IF(AND(C2&lt;&gt;".",D2&lt;&gt;".",F2&lt;&gt;"."),1/((1/C2)+(1/D2)+(1/F2)),IF(AND(C2&lt;&gt;".",D2&lt;&gt;".",F2="."), 1/((1/C2)+(1/D2)),IF(AND(C2&lt;&gt;".",D2=".",F2&lt;&gt;"."),1/((1/C2)+(1/F2)),IF(AND(C2=".",D2&lt;&gt;".",F2&lt;&gt;"."),1/((1/D2)+(1/F2)),IF(AND(C2&lt;&gt;".",D2=".",F2="."),1/(1/C2),IF(AND(C2=".",D2&lt;&gt;".",F2="."),1/(1/D2),IF(AND(C2=".",D2=".",F2&lt;&gt;"."),1/(1/F2),IF(AND(C2=".",D2=".",F2="."),".")))))))))</f>
        <v>6.0903918311446589E-4</v>
      </c>
    </row>
    <row r="3" spans="1:8">
      <c r="A3" s="62" t="s">
        <v>7</v>
      </c>
      <c r="B3" s="76" t="s">
        <v>8</v>
      </c>
      <c r="C3" s="61">
        <f>IFERROR((st_DL/(k_decay_ow_state*Rad_Spec!V3*st_IFD_ow*st_EF_ow))*1,".")</f>
        <v>0.20203800368428806</v>
      </c>
      <c r="D3" s="61">
        <f>IFERROR((st_DL/(k_decay_ow_state*Rad_Spec!AN3*st_IRA_ow*(1/s_PEFm_pp_state)*st_SLF*st_ET_ow*st_EF_ow))*1,".")</f>
        <v>5.702520728428486E-5</v>
      </c>
      <c r="E3" s="61">
        <f>IFERROR((st_DL/(k_decay_ow_state*Rad_Spec!AN3*st_IRA_ow*(1/s_PEF)*st_SLF*st_ET_ow*st_EF_ow))*1,".")</f>
        <v>5.2696173240518096E-3</v>
      </c>
      <c r="F3" s="61">
        <f>IFERROR((st_DL/(k_decay_ow_state*Rad_Spec!AY3*st_GSF_s*st_Fam*st_Foffset*acf!H3*st_ET_ow*(1/24)*st_EF_ow*(1/365)))*1,".")</f>
        <v>895.65583753236285</v>
      </c>
      <c r="G3" s="61">
        <f t="shared" ref="G3" si="2">(IF(AND(C3&lt;&gt;".",E3&lt;&gt;".",F3&lt;&gt;"."),1/((1/C3)+(1/E3)+(1/F3)),IF(AND(C3&lt;&gt;".",E3&lt;&gt;".",F3="."), 1/((1/C3)+(1/E3)),IF(AND(C3&lt;&gt;".",E3=".",F3&lt;&gt;"."),1/((1/C3)+(1/F3)),IF(AND(C3=".",E3&lt;&gt;".",F3&lt;&gt;"."),1/((1/E3)+(1/F3)),IF(AND(C3&lt;&gt;".",E3=".",F3="."),1/(1/C3),IF(AND(C3=".",E3&lt;&gt;".",F3="."),1/(1/E3),IF(AND(C3=".",E3=".",F3&lt;&gt;"."),1/(1/F3),IF(AND(C3=".",E3=".",F3="."),".")))))))))</f>
        <v>5.1356378238212553E-3</v>
      </c>
      <c r="H3" s="61">
        <f t="shared" ref="H3" si="3">(IF(AND(C3&lt;&gt;".",D3&lt;&gt;".",F3&lt;&gt;"."),1/((1/C3)+(1/D3)+(1/F3)),IF(AND(C3&lt;&gt;".",D3&lt;&gt;".",F3="."), 1/((1/C3)+(1/D3)),IF(AND(C3&lt;&gt;".",D3=".",F3&lt;&gt;"."),1/((1/C3)+(1/F3)),IF(AND(C3=".",D3&lt;&gt;".",F3&lt;&gt;"."),1/((1/D3)+(1/F3)),IF(AND(C3&lt;&gt;".",D3=".",F3="."),1/(1/C3),IF(AND(C3=".",D3&lt;&gt;".",F3="."),1/(1/D3),IF(AND(C3=".",D3=".",F3&lt;&gt;"."),1/(1/F3),IF(AND(C3=".",D3=".",F3="."),".")))))))))</f>
        <v>5.7009112837925875E-5</v>
      </c>
    </row>
    <row r="4" spans="1:8">
      <c r="A4" s="60" t="s">
        <v>9</v>
      </c>
      <c r="B4" s="88" t="s">
        <v>6</v>
      </c>
      <c r="C4" s="61" t="str">
        <f>IFERROR((st_DL/(k_decay_ow_state*Rad_Spec!V4*st_IFD_ow*st_EF_ow))*1,".")</f>
        <v>.</v>
      </c>
      <c r="D4" s="61" t="str">
        <f>IFERROR((st_DL/(k_decay_ow_state*Rad_Spec!AN4*st_IRA_ow*(1/s_PEFm_pp_state)*st_SLF*st_ET_ow*st_EF_ow))*1,".")</f>
        <v>.</v>
      </c>
      <c r="E4" s="61" t="str">
        <f>IFERROR((st_DL/(k_decay_ow_state*Rad_Spec!AN4*st_IRA_ow*(1/s_PEF)*st_SLF*st_ET_ow*st_EF_ow))*1,".")</f>
        <v>.</v>
      </c>
      <c r="F4" s="61">
        <f>IFERROR((st_DL/(k_decay_ow_state*Rad_Spec!AY4*st_GSF_s*st_Fam*st_Foffset*acf!H4*st_ET_ow*(1/24)*st_EF_ow*(1/365)))*1,".")</f>
        <v>92752.517403910344</v>
      </c>
      <c r="G4" s="61">
        <f t="shared" ref="G4:G13" si="4">(IF(AND(C4&lt;&gt;".",E4&lt;&gt;".",F4&lt;&gt;"."),1/((1/C4)+(1/E4)+(1/F4)),IF(AND(C4&lt;&gt;".",E4&lt;&gt;".",F4="."), 1/((1/C4)+(1/E4)),IF(AND(C4&lt;&gt;".",E4=".",F4&lt;&gt;"."),1/((1/C4)+(1/F4)),IF(AND(C4=".",E4&lt;&gt;".",F4&lt;&gt;"."),1/((1/E4)+(1/F4)),IF(AND(C4&lt;&gt;".",E4=".",F4="."),1/(1/C4),IF(AND(C4=".",E4&lt;&gt;".",F4="."),1/(1/E4),IF(AND(C4=".",E4=".",F4&lt;&gt;"."),1/(1/F4),IF(AND(C4=".",E4=".",F4="."),".")))))))))</f>
        <v>92752.517403910344</v>
      </c>
      <c r="H4" s="61">
        <f t="shared" ref="H4:H13" si="5">(IF(AND(C4&lt;&gt;".",D4&lt;&gt;".",F4&lt;&gt;"."),1/((1/C4)+(1/D4)+(1/F4)),IF(AND(C4&lt;&gt;".",D4&lt;&gt;".",F4="."), 1/((1/C4)+(1/D4)),IF(AND(C4&lt;&gt;".",D4=".",F4&lt;&gt;"."),1/((1/C4)+(1/F4)),IF(AND(C4=".",D4&lt;&gt;".",F4&lt;&gt;"."),1/((1/D4)+(1/F4)),IF(AND(C4&lt;&gt;".",D4=".",F4="."),1/(1/C4),IF(AND(C4=".",D4&lt;&gt;".",F4="."),1/(1/D4),IF(AND(C4=".",D4=".",F4&lt;&gt;"."),1/(1/F4),IF(AND(C4=".",D4=".",F4="."),".")))))))))</f>
        <v>92752.517403910344</v>
      </c>
    </row>
    <row r="5" spans="1:8">
      <c r="A5" s="60" t="s">
        <v>10</v>
      </c>
      <c r="B5" s="88" t="s">
        <v>6</v>
      </c>
      <c r="C5" s="61" t="str">
        <f>IFERROR((st_DL/(k_decay_ow_state*Rad_Spec!V5*st_IFD_ow*st_EF_ow))*1,".")</f>
        <v>.</v>
      </c>
      <c r="D5" s="61" t="str">
        <f>IFERROR((st_DL/(k_decay_ow_state*Rad_Spec!AN5*st_IRA_ow*(1/s_PEFm_pp_state)*st_SLF*st_ET_ow*st_EF_ow))*1,".")</f>
        <v>.</v>
      </c>
      <c r="E5" s="61" t="str">
        <f>IFERROR((st_DL/(k_decay_ow_state*Rad_Spec!AN5*st_IRA_ow*(1/s_PEF)*st_SLF*st_ET_ow*st_EF_ow))*1,".")</f>
        <v>.</v>
      </c>
      <c r="F5" s="61">
        <f>IFERROR((st_DL/(k_decay_ow_state*Rad_Spec!AY5*st_GSF_s*st_Fam*st_Foffset*acf!H5*st_ET_ow*(1/24)*st_EF_ow*(1/365)))*1,".")</f>
        <v>171096.37944148548</v>
      </c>
      <c r="G5" s="61">
        <f t="shared" si="4"/>
        <v>171096.37944148548</v>
      </c>
      <c r="H5" s="61">
        <f t="shared" si="5"/>
        <v>171096.37944148548</v>
      </c>
    </row>
    <row r="6" spans="1:8">
      <c r="A6" s="60" t="s">
        <v>11</v>
      </c>
      <c r="B6" s="88" t="s">
        <v>6</v>
      </c>
      <c r="C6" s="61" t="str">
        <f>IFERROR((st_DL/(k_decay_ow_state*Rad_Spec!V6*st_IFD_ow*st_EF_ow))*1,".")</f>
        <v>.</v>
      </c>
      <c r="D6" s="61" t="str">
        <f>IFERROR((st_DL/(k_decay_ow_state*Rad_Spec!AN6*st_IRA_ow*(1/s_PEFm_pp_state)*st_SLF*st_ET_ow*st_EF_ow))*1,".")</f>
        <v>.</v>
      </c>
      <c r="E6" s="61" t="str">
        <f>IFERROR((st_DL/(k_decay_ow_state*Rad_Spec!AN6*st_IRA_ow*(1/s_PEF)*st_SLF*st_ET_ow*st_EF_ow))*1,".")</f>
        <v>.</v>
      </c>
      <c r="F6" s="61">
        <f>IFERROR((st_DL/(k_decay_ow_state*Rad_Spec!AY6*st_GSF_s*st_Fam*st_Foffset*acf!H6*st_ET_ow*(1/24)*st_EF_ow*(1/365)))*1,".")</f>
        <v>37.636185319084291</v>
      </c>
      <c r="G6" s="61">
        <f t="shared" si="4"/>
        <v>37.636185319084291</v>
      </c>
      <c r="H6" s="61">
        <f t="shared" si="5"/>
        <v>37.636185319084291</v>
      </c>
    </row>
    <row r="7" spans="1:8">
      <c r="A7" s="60" t="s">
        <v>12</v>
      </c>
      <c r="B7" s="88" t="s">
        <v>6</v>
      </c>
      <c r="C7" s="61">
        <f>IFERROR((st_DL/(k_decay_ow_state*Rad_Spec!V7*st_IFD_ow*st_EF_ow))*1,".")</f>
        <v>31.462406680606691</v>
      </c>
      <c r="D7" s="61">
        <f>IFERROR((st_DL/(k_decay_ow_state*Rad_Spec!AN7*st_IRA_ow*(1/s_PEFm_pp_state)*st_SLF*st_ET_ow*st_EF_ow))*1,".")</f>
        <v>3.8316252291700999E-2</v>
      </c>
      <c r="E7" s="61">
        <f>IFERROR((st_DL/(k_decay_ow_state*Rad_Spec!AN7*st_IRA_ow*(1/s_PEF)*st_SLF*st_ET_ow*st_EF_ow))*1,".")</f>
        <v>3.5407497225307019</v>
      </c>
      <c r="F7" s="61">
        <f>IFERROR((st_DL/(k_decay_ow_state*Rad_Spec!AY7*st_GSF_s*st_Fam*st_Foffset*acf!H7*st_ET_ow*(1/24)*st_EF_ow*(1/365)))*1,".")</f>
        <v>602.63790578680334</v>
      </c>
      <c r="G7" s="61">
        <f t="shared" si="4"/>
        <v>3.1658654162343214</v>
      </c>
      <c r="H7" s="61">
        <f t="shared" si="5"/>
        <v>3.8267215790969984E-2</v>
      </c>
    </row>
    <row r="8" spans="1:8">
      <c r="A8" s="60" t="s">
        <v>13</v>
      </c>
      <c r="B8" s="88" t="s">
        <v>6</v>
      </c>
      <c r="C8" s="61">
        <f>IFERROR((st_DL/(k_decay_ow_state*Rad_Spec!V8*st_IFD_ow*st_EF_ow))*1,".")</f>
        <v>208.16036743229679</v>
      </c>
      <c r="D8" s="61">
        <f>IFERROR((st_DL/(k_decay_ow_state*Rad_Spec!AN8*st_IRA_ow*(1/s_PEFm_pp_state)*st_SLF*st_ET_ow*st_EF_ow))*1,".")</f>
        <v>0.15758233336868582</v>
      </c>
      <c r="E8" s="61">
        <f>IFERROR((st_DL/(k_decay_ow_state*Rad_Spec!AN8*st_IRA_ow*(1/s_PEF)*st_SLF*st_ET_ow*st_EF_ow))*1,".")</f>
        <v>14.561956605337539</v>
      </c>
      <c r="F8" s="61">
        <f>IFERROR((st_DL/(k_decay_ow_state*Rad_Spec!AY8*st_GSF_s*st_Fam*st_Foffset*acf!H8*st_ET_ow*(1/24)*st_EF_ow*(1/365)))*1,".")</f>
        <v>132.3343252350661</v>
      </c>
      <c r="G8" s="61">
        <f t="shared" si="4"/>
        <v>12.340697447492239</v>
      </c>
      <c r="H8" s="61">
        <f t="shared" si="5"/>
        <v>0.15727598910970811</v>
      </c>
    </row>
    <row r="9" spans="1:8">
      <c r="A9" s="60" t="s">
        <v>14</v>
      </c>
      <c r="B9" s="88" t="s">
        <v>6</v>
      </c>
      <c r="C9" s="61">
        <f>IFERROR((st_DL/(k_decay_ow_state*Rad_Spec!V9*st_IFD_ow*st_EF_ow))*1,".")</f>
        <v>367.99779242495327</v>
      </c>
      <c r="D9" s="61">
        <f>IFERROR((st_DL/(k_decay_ow_state*Rad_Spec!AN9*st_IRA_ow*(1/s_PEFm_pp_state)*st_SLF*st_ET_ow*st_EF_ow))*1,".")</f>
        <v>0.56553113355128104</v>
      </c>
      <c r="E9" s="61">
        <f>IFERROR((st_DL/(k_decay_ow_state*Rad_Spec!AN9*st_IRA_ow*(1/s_PEF)*st_SLF*st_ET_ow*st_EF_ow))*1,".")</f>
        <v>52.259918035822011</v>
      </c>
      <c r="F9" s="61">
        <f>IFERROR((st_DL/(k_decay_ow_state*Rad_Spec!AY9*st_GSF_s*st_Fam*st_Foffset*acf!H9*st_ET_ow*(1/24)*st_EF_ow*(1/365)))*1,".")</f>
        <v>15.655267807455905</v>
      </c>
      <c r="G9" s="61">
        <f t="shared" si="4"/>
        <v>11.664692243470245</v>
      </c>
      <c r="H9" s="61">
        <f t="shared" si="5"/>
        <v>0.54500578308693548</v>
      </c>
    </row>
    <row r="10" spans="1:8">
      <c r="A10" s="62" t="s">
        <v>15</v>
      </c>
      <c r="B10" s="88" t="s">
        <v>8</v>
      </c>
      <c r="C10" s="61">
        <f>IFERROR((st_DL/(k_decay_ow_state*Rad_Spec!V10*st_IFD_ow*st_EF_ow))*1,".")</f>
        <v>3.0305700552643211</v>
      </c>
      <c r="D10" s="61">
        <f>IFERROR((st_DL/(k_decay_ow_state*Rad_Spec!AN10*st_IRA_ow*(1/s_PEFm_pp_state)*st_SLF*st_ET_ow*st_EF_ow))*1,".")</f>
        <v>0.13415282576950471</v>
      </c>
      <c r="E10" s="61">
        <f>IFERROR((st_DL/(k_decay_ow_state*Rad_Spec!AN10*st_IRA_ow*(1/s_PEF)*st_SLF*st_ET_ow*st_EF_ow))*1,".")</f>
        <v>12.396869532121885</v>
      </c>
      <c r="F10" s="61">
        <f>IFERROR((st_DL/(k_decay_ow_state*Rad_Spec!AY10*st_GSF_s*st_Fam*st_Foffset*acf!H10*st_ET_ow*(1/24)*st_EF_ow*(1/365)))*1,".")</f>
        <v>6793.5705919613638</v>
      </c>
      <c r="G10" s="61">
        <f t="shared" si="4"/>
        <v>2.4343714904117131</v>
      </c>
      <c r="H10" s="61">
        <f t="shared" si="5"/>
        <v>0.12846364879769254</v>
      </c>
    </row>
    <row r="11" spans="1:8">
      <c r="A11" s="60" t="s">
        <v>16</v>
      </c>
      <c r="B11" s="88" t="s">
        <v>6</v>
      </c>
      <c r="C11" s="61" t="str">
        <f>IFERROR((st_DL/(k_decay_ow_state*Rad_Spec!V11*st_IFD_ow*st_EF_ow))*1,".")</f>
        <v>.</v>
      </c>
      <c r="D11" s="61" t="str">
        <f>IFERROR((st_DL/(k_decay_ow_state*Rad_Spec!AN11*st_IRA_ow*(1/s_PEFm_pp_state)*st_SLF*st_ET_ow*st_EF_ow))*1,".")</f>
        <v>.</v>
      </c>
      <c r="E11" s="61" t="str">
        <f>IFERROR((st_DL/(k_decay_ow_state*Rad_Spec!AN11*st_IRA_ow*(1/s_PEF)*st_SLF*st_ET_ow*st_EF_ow))*1,".")</f>
        <v>.</v>
      </c>
      <c r="F11" s="61">
        <f>IFERROR((st_DL/(k_decay_ow_state*Rad_Spec!AY11*st_GSF_s*st_Fam*st_Foffset*acf!H11*st_ET_ow*(1/24)*st_EF_ow*(1/365)))*1,".")</f>
        <v>771.45425500379372</v>
      </c>
      <c r="G11" s="61">
        <f t="shared" si="4"/>
        <v>771.45425500379383</v>
      </c>
      <c r="H11" s="61">
        <f t="shared" si="5"/>
        <v>771.45425500379383</v>
      </c>
    </row>
    <row r="12" spans="1:8">
      <c r="A12" s="60" t="s">
        <v>17</v>
      </c>
      <c r="B12" s="88" t="s">
        <v>6</v>
      </c>
      <c r="C12" s="61" t="str">
        <f>IFERROR((st_DL/(k_decay_ow_state*Rad_Spec!V12*st_IFD_ow*st_EF_ow))*1,".")</f>
        <v>.</v>
      </c>
      <c r="D12" s="61" t="str">
        <f>IFERROR((st_DL/(k_decay_ow_state*Rad_Spec!AN12*st_IRA_ow*(1/s_PEFm_pp_state)*st_SLF*st_ET_ow*st_EF_ow))*1,".")</f>
        <v>.</v>
      </c>
      <c r="E12" s="61" t="str">
        <f>IFERROR((st_DL/(k_decay_ow_state*Rad_Spec!AN12*st_IRA_ow*(1/s_PEF)*st_SLF*st_ET_ow*st_EF_ow))*1,".")</f>
        <v>.</v>
      </c>
      <c r="F12" s="61">
        <f>IFERROR((st_DL/(k_decay_ow_state*Rad_Spec!AY12*st_GSF_s*st_Fam*st_Foffset*acf!H12*st_ET_ow*(1/24)*st_EF_ow*(1/365)))*1,".")</f>
        <v>143.24429795042875</v>
      </c>
      <c r="G12" s="61">
        <f t="shared" si="4"/>
        <v>143.24429795042875</v>
      </c>
      <c r="H12" s="61">
        <f t="shared" si="5"/>
        <v>143.24429795042875</v>
      </c>
    </row>
    <row r="13" spans="1:8">
      <c r="A13" s="60" t="s">
        <v>18</v>
      </c>
      <c r="B13" s="88" t="s">
        <v>6</v>
      </c>
      <c r="C13" s="61">
        <f>IFERROR((st_DL/(k_decay_ow_state*Rad_Spec!V13*st_IFD_ow*st_EF_ow))*1,".")</f>
        <v>0.38519395094948383</v>
      </c>
      <c r="D13" s="61">
        <f>IFERROR((st_DL/(k_decay_ow_state*Rad_Spec!AN13*st_IRA_ow*(1/s_PEFm_pp_state)*st_SLF*st_ET_ow*st_EF_ow))*1,".")</f>
        <v>4.4398197099907507E-4</v>
      </c>
      <c r="E13" s="61">
        <f>IFERROR((st_DL/(k_decay_ow_state*Rad_Spec!AN13*st_IRA_ow*(1/s_PEF)*st_SLF*st_ET_ow*st_EF_ow))*1,".")</f>
        <v>4.1027734880117663E-2</v>
      </c>
      <c r="F13" s="61">
        <f>IFERROR((st_DL/(k_decay_ow_state*Rad_Spec!AY13*st_GSF_s*st_Fam*st_Foffset*acf!H13*st_ET_ow*(1/24)*st_EF_ow*(1/365)))*1,".")</f>
        <v>797.08386298463518</v>
      </c>
      <c r="G13" s="61">
        <f t="shared" si="4"/>
        <v>3.7076715496058878E-2</v>
      </c>
      <c r="H13" s="61">
        <f t="shared" si="5"/>
        <v>4.4347057125586212E-4</v>
      </c>
    </row>
    <row r="14" spans="1:8">
      <c r="A14" s="60" t="s">
        <v>19</v>
      </c>
      <c r="B14" s="88" t="s">
        <v>6</v>
      </c>
      <c r="C14" s="61">
        <f>IFERROR((st_DL/(k_decay_ow_state*Rad_Spec!V14*st_IFD_ow*st_EF_ow))*1,".")</f>
        <v>42.666410715936614</v>
      </c>
      <c r="D14" s="61">
        <f>IFERROR((st_DL/(k_decay_ow_state*Rad_Spec!AN14*st_IRA_ow*(1/s_PEFm_pp_state)*st_SLF*st_ET_ow*st_EF_ow))*1,".")</f>
        <v>1.226792288286918</v>
      </c>
      <c r="E14" s="61">
        <f>IFERROR((st_DL/(k_decay_ow_state*Rad_Spec!AN14*st_IRA_ow*(1/s_PEF)*st_SLF*st_ET_ow*st_EF_ow))*1,".")</f>
        <v>113.36610953716723</v>
      </c>
      <c r="F14" s="61">
        <f>IFERROR((st_DL/(k_decay_ow_state*Rad_Spec!AY14*st_GSF_s*st_Fam*st_Foffset*acf!H14*st_ET_ow*(1/24)*st_EF_ow*(1/365)))*1,".")</f>
        <v>102.23696868699537</v>
      </c>
      <c r="G14" s="61">
        <f t="shared" ref="G14:G30" si="6">(IF(AND(C14&lt;&gt;".",E14&lt;&gt;".",F14&lt;&gt;"."),1/((1/C14)+(1/E14)+(1/F14)),IF(AND(C14&lt;&gt;".",E14&lt;&gt;".",F14="."), 1/((1/C14)+(1/E14)),IF(AND(C14&lt;&gt;".",E14=".",F14&lt;&gt;"."),1/((1/C14)+(1/F14)),IF(AND(C14=".",E14&lt;&gt;".",F14&lt;&gt;"."),1/((1/E14)+(1/F14)),IF(AND(C14&lt;&gt;".",E14=".",F14="."),1/(1/C14),IF(AND(C14=".",E14&lt;&gt;".",F14="."),1/(1/E14),IF(AND(C14=".",E14=".",F14&lt;&gt;"."),1/(1/F14),IF(AND(C14=".",E14=".",F14="."),".")))))))))</f>
        <v>23.786973397054933</v>
      </c>
      <c r="H14" s="61">
        <f t="shared" ref="H14:H30" si="7">(IF(AND(C14&lt;&gt;".",D14&lt;&gt;".",F14&lt;&gt;"."),1/((1/C14)+(1/D14)+(1/F14)),IF(AND(C14&lt;&gt;".",D14&lt;&gt;".",F14="."), 1/((1/C14)+(1/D14)),IF(AND(C14&lt;&gt;".",D14=".",F14&lt;&gt;"."),1/((1/C14)+(1/F14)),IF(AND(C14=".",D14&lt;&gt;".",F14&lt;&gt;"."),1/((1/D14)+(1/F14)),IF(AND(C14&lt;&gt;".",D14=".",F14="."),1/(1/C14),IF(AND(C14=".",D14&lt;&gt;".",F14="."),1/(1/D14),IF(AND(C14=".",D14=".",F14&lt;&gt;"."),1/(1/F14),IF(AND(C14=".",D14=".",F14="."),".")))))))))</f>
        <v>1.1787549423939192</v>
      </c>
    </row>
    <row r="15" spans="1:8">
      <c r="A15" s="60" t="s">
        <v>20</v>
      </c>
      <c r="B15" s="88" t="s">
        <v>6</v>
      </c>
      <c r="C15" s="61">
        <f>IFERROR((st_DL/(k_decay_ow_state*Rad_Spec!V15*st_IFD_ow*st_EF_ow))*1,".")</f>
        <v>726.90921960484604</v>
      </c>
      <c r="D15" s="61">
        <f>IFERROR((st_DL/(k_decay_ow_state*Rad_Spec!AN15*st_IRA_ow*(1/s_PEFm_pp_state)*st_SLF*st_ET_ow*st_EF_ow))*1,".")</f>
        <v>80.145742615878902</v>
      </c>
      <c r="E15" s="61">
        <f>IFERROR((st_DL/(k_decay_ow_state*Rad_Spec!AN15*st_IRA_ow*(1/s_PEF)*st_SLF*st_ET_ow*st_EF_ow))*1,".")</f>
        <v>7406.1527147490351</v>
      </c>
      <c r="F15" s="61">
        <f>IFERROR((st_DL/(k_decay_ow_state*Rad_Spec!AY15*st_GSF_s*st_Fam*st_Foffset*acf!H15*st_ET_ow*(1/24)*st_EF_ow*(1/365)))*1,".")</f>
        <v>6704.403583130309</v>
      </c>
      <c r="G15" s="61">
        <f t="shared" si="6"/>
        <v>602.45820917414596</v>
      </c>
      <c r="H15" s="61">
        <f t="shared" si="7"/>
        <v>71.41779537126591</v>
      </c>
    </row>
    <row r="16" spans="1:8">
      <c r="A16" s="62" t="s">
        <v>21</v>
      </c>
      <c r="B16" s="88" t="s">
        <v>6</v>
      </c>
      <c r="C16" s="61">
        <f>IFERROR((st_DL/(k_decay_ow_state*Rad_Spec!V16*st_IFD_ow*st_EF_ow))*1,".")</f>
        <v>5.9218035562636162E-2</v>
      </c>
      <c r="D16" s="61">
        <f>IFERROR((st_DL/(k_decay_ow_state*Rad_Spec!AN16*st_IRA_ow*(1/s_PEFm_pp_state)*st_SLF*st_ET_ow*st_EF_ow))*1,".")</f>
        <v>9.2772352149060459E-4</v>
      </c>
      <c r="E16" s="61">
        <f>IFERROR((st_DL/(k_decay_ow_state*Rad_Spec!AN16*st_IRA_ow*(1/s_PEF)*st_SLF*st_ET_ow*st_EF_ow))*1,".")</f>
        <v>8.5729595271887643E-2</v>
      </c>
      <c r="F16" s="61">
        <f>IFERROR((st_DL/(k_decay_ow_state*Rad_Spec!AY16*st_GSF_s*st_Fam*st_Foffset*acf!H16*st_ET_ow*(1/24)*st_EF_ow*(1/365)))*1,".")</f>
        <v>8870.2040033028225</v>
      </c>
      <c r="G16" s="61">
        <f t="shared" si="6"/>
        <v>3.5024499169569026E-2</v>
      </c>
      <c r="H16" s="61">
        <f t="shared" si="7"/>
        <v>9.134136748331314E-4</v>
      </c>
    </row>
    <row r="17" spans="1:8">
      <c r="A17" s="60" t="s">
        <v>22</v>
      </c>
      <c r="B17" s="88" t="s">
        <v>6</v>
      </c>
      <c r="C17" s="61">
        <f>IFERROR((st_DL/(k_decay_ow_state*Rad_Spec!V17*st_IFD_ow*st_EF_ow))*1,".")</f>
        <v>296.5162068460055</v>
      </c>
      <c r="D17" s="61">
        <f>IFERROR((st_DL/(k_decay_ow_state*Rad_Spec!AN17*st_IRA_ow*(1/s_PEFm_pp_state)*st_SLF*st_ET_ow*st_EF_ow))*1,".")</f>
        <v>0.44417252120122069</v>
      </c>
      <c r="E17" s="61">
        <f>IFERROR((st_DL/(k_decay_ow_state*Rad_Spec!AN17*st_IRA_ow*(1/s_PEF)*st_SLF*st_ET_ow*st_EF_ow))*1,".")</f>
        <v>41.045343350023302</v>
      </c>
      <c r="F17" s="61">
        <f>IFERROR((st_DL/(k_decay_ow_state*Rad_Spec!AY17*st_GSF_s*st_Fam*st_Foffset*acf!H17*st_ET_ow*(1/24)*st_EF_ow*(1/365)))*1,".")</f>
        <v>87.848031442784162</v>
      </c>
      <c r="G17" s="61">
        <f t="shared" si="6"/>
        <v>25.562966202293659</v>
      </c>
      <c r="H17" s="61">
        <f t="shared" si="7"/>
        <v>0.44128031835638981</v>
      </c>
    </row>
    <row r="18" spans="1:8">
      <c r="A18" s="60" t="s">
        <v>23</v>
      </c>
      <c r="B18" s="88" t="s">
        <v>6</v>
      </c>
      <c r="C18" s="61">
        <f>IFERROR((st_DL/(k_decay_ow_state*Rad_Spec!V18*st_IFD_ow*st_EF_ow))*1,".")</f>
        <v>3.4062605579830388E-2</v>
      </c>
      <c r="D18" s="61">
        <f>IFERROR((st_DL/(k_decay_ow_state*Rad_Spec!AN18*st_IRA_ow*(1/s_PEFm_pp_state)*st_SLF*st_ET_ow*st_EF_ow))*1,".")</f>
        <v>1.1953360757667405E-3</v>
      </c>
      <c r="E18" s="61">
        <f>IFERROR((st_DL/(k_decay_ow_state*Rad_Spec!AN18*st_IRA_ow*(1/s_PEF)*st_SLF*st_ET_ow*st_EF_ow))*1,".")</f>
        <v>0.11045928621570139</v>
      </c>
      <c r="F18" s="61">
        <f>IFERROR((st_DL/(k_decay_ow_state*Rad_Spec!AY18*st_GSF_s*st_Fam*st_Foffset*acf!H18*st_ET_ow*(1/24)*st_EF_ow*(1/365)))*1,".")</f>
        <v>2368705.6118447762</v>
      </c>
      <c r="G18" s="61">
        <f t="shared" si="6"/>
        <v>2.6034333005856454E-2</v>
      </c>
      <c r="H18" s="61">
        <f t="shared" si="7"/>
        <v>1.1548110681574848E-3</v>
      </c>
    </row>
    <row r="19" spans="1:8">
      <c r="A19" s="60" t="s">
        <v>24</v>
      </c>
      <c r="B19" s="88" t="s">
        <v>6</v>
      </c>
      <c r="C19" s="61" t="str">
        <f>IFERROR((st_DL/(k_decay_ow_state*Rad_Spec!V19*st_IFD_ow*st_EF_ow))*1,".")</f>
        <v>.</v>
      </c>
      <c r="D19" s="61" t="str">
        <f>IFERROR((st_DL/(k_decay_ow_state*Rad_Spec!AN19*st_IRA_ow*(1/s_PEFm_pp_state)*st_SLF*st_ET_ow*st_EF_ow))*1,".")</f>
        <v>.</v>
      </c>
      <c r="E19" s="61" t="str">
        <f>IFERROR((st_DL/(k_decay_ow_state*Rad_Spec!AN19*st_IRA_ow*(1/s_PEF)*st_SLF*st_ET_ow*st_EF_ow))*1,".")</f>
        <v>.</v>
      </c>
      <c r="F19" s="61">
        <f>IFERROR((st_DL/(k_decay_ow_state*Rad_Spec!AY19*st_GSF_s*st_Fam*st_Foffset*acf!H19*st_ET_ow*(1/24)*st_EF_ow*(1/365)))*1,".")</f>
        <v>612753.15739256318</v>
      </c>
      <c r="G19" s="61">
        <f t="shared" si="6"/>
        <v>612753.15739256318</v>
      </c>
      <c r="H19" s="61">
        <f t="shared" si="7"/>
        <v>612753.15739256318</v>
      </c>
    </row>
    <row r="20" spans="1:8">
      <c r="A20" s="60" t="s">
        <v>25</v>
      </c>
      <c r="B20" s="88" t="s">
        <v>6</v>
      </c>
      <c r="C20" s="61" t="str">
        <f>IFERROR((st_DL/(k_decay_ow_state*Rad_Spec!V20*st_IFD_ow*st_EF_ow))*1,".")</f>
        <v>.</v>
      </c>
      <c r="D20" s="61" t="str">
        <f>IFERROR((st_DL/(k_decay_ow_state*Rad_Spec!AN20*st_IRA_ow*(1/s_PEFm_pp_state)*st_SLF*st_ET_ow*st_EF_ow))*1,".")</f>
        <v>.</v>
      </c>
      <c r="E20" s="61" t="str">
        <f>IFERROR((st_DL/(k_decay_ow_state*Rad_Spec!AN20*st_IRA_ow*(1/s_PEF)*st_SLF*st_ET_ow*st_EF_ow))*1,".")</f>
        <v>.</v>
      </c>
      <c r="F20" s="61">
        <f>IFERROR((st_DL/(k_decay_ow_state*Rad_Spec!AY20*st_GSF_s*st_Fam*st_Foffset*acf!H20*st_ET_ow*(1/24)*st_EF_ow*(1/365)))*1,".")</f>
        <v>278180.71411047189</v>
      </c>
      <c r="G20" s="61">
        <f t="shared" si="6"/>
        <v>278180.71411047189</v>
      </c>
      <c r="H20" s="61">
        <f t="shared" si="7"/>
        <v>278180.71411047189</v>
      </c>
    </row>
    <row r="21" spans="1:8">
      <c r="A21" s="60" t="s">
        <v>26</v>
      </c>
      <c r="B21" s="88" t="s">
        <v>6</v>
      </c>
      <c r="C21" s="61" t="str">
        <f>IFERROR((st_DL/(k_decay_ow_state*Rad_Spec!V21*st_IFD_ow*st_EF_ow))*1,".")</f>
        <v>.</v>
      </c>
      <c r="D21" s="61">
        <f>IFERROR((st_DL/(k_decay_ow_state*Rad_Spec!AN21*st_IRA_ow*(1/s_PEFm_pp_state)*st_SLF*st_ET_ow*st_EF_ow))*1,".")</f>
        <v>2.7163306414667829</v>
      </c>
      <c r="E21" s="61">
        <f>IFERROR((st_DL/(k_decay_ow_state*Rad_Spec!AN21*st_IRA_ow*(1/s_PEF)*st_SLF*st_ET_ow*st_EF_ow))*1,".")</f>
        <v>251.01220473898763</v>
      </c>
      <c r="F21" s="61">
        <f>IFERROR((st_DL/(k_decay_ow_state*Rad_Spec!AY21*st_GSF_s*st_Fam*st_Foffset*acf!H21*st_ET_ow*(1/24)*st_EF_ow*(1/365)))*1,".")</f>
        <v>3216097357.9226594</v>
      </c>
      <c r="G21" s="61">
        <f t="shared" si="6"/>
        <v>251.01218514781394</v>
      </c>
      <c r="H21" s="61">
        <f t="shared" si="7"/>
        <v>2.7163306391725572</v>
      </c>
    </row>
    <row r="22" spans="1:8">
      <c r="A22" s="60" t="s">
        <v>27</v>
      </c>
      <c r="B22" s="88" t="s">
        <v>6</v>
      </c>
      <c r="C22" s="61">
        <f>IFERROR((st_DL/(k_decay_ow_state*Rad_Spec!V22*st_IFD_ow*st_EF_ow))*1,".")</f>
        <v>0.41381277863046956</v>
      </c>
      <c r="D22" s="61">
        <f>IFERROR((st_DL/(k_decay_ow_state*Rad_Spec!AN22*st_IRA_ow*(1/s_PEFm_pp_state)*st_SLF*st_ET_ow*st_EF_ow))*1,".")</f>
        <v>6.651810742673421E-4</v>
      </c>
      <c r="E22" s="61">
        <f>IFERROR((st_DL/(k_decay_ow_state*Rad_Spec!AN22*st_IRA_ow*(1/s_PEF)*st_SLF*st_ET_ow*st_EF_ow))*1,".")</f>
        <v>6.1468425623006258E-2</v>
      </c>
      <c r="F22" s="61">
        <f>IFERROR((st_DL/(k_decay_ow_state*Rad_Spec!AY22*st_GSF_s*st_Fam*st_Foffset*acf!H22*st_ET_ow*(1/24)*st_EF_ow*(1/365)))*1,".")</f>
        <v>1772.0305239530294</v>
      </c>
      <c r="G22" s="61">
        <f t="shared" si="6"/>
        <v>5.3517058054592448E-2</v>
      </c>
      <c r="H22" s="61">
        <f t="shared" si="7"/>
        <v>6.6411329970414727E-4</v>
      </c>
    </row>
    <row r="23" spans="1:8">
      <c r="A23" s="62" t="s">
        <v>28</v>
      </c>
      <c r="B23" s="88" t="s">
        <v>8</v>
      </c>
      <c r="C23" s="61">
        <f>IFERROR((st_DL/(k_decay_ow_state*Rad_Spec!V23*st_IFD_ow*st_EF_ow))*1,".")</f>
        <v>0.14719911696998131</v>
      </c>
      <c r="D23" s="61">
        <f>IFERROR((st_DL/(k_decay_ow_state*Rad_Spec!AN23*st_IRA_ow*(1/s_PEFm_pp_state)*st_SLF*st_ET_ow*st_EF_ow))*1,".")</f>
        <v>5.4312357617362591E-4</v>
      </c>
      <c r="E23" s="61">
        <f>IFERROR((st_DL/(k_decay_ow_state*Rad_Spec!AN23*st_IRA_ow*(1/s_PEF)*st_SLF*st_ET_ow*st_EF_ow))*1,".")</f>
        <v>5.0189267911600249E-2</v>
      </c>
      <c r="F23" s="61">
        <f>IFERROR((st_DL/(k_decay_ow_state*Rad_Spec!AY23*st_GSF_s*st_Fam*st_Foffset*acf!H23*st_ET_ow*(1/24)*st_EF_ow*(1/365)))*1,".")</f>
        <v>3105.2933525311764</v>
      </c>
      <c r="G23" s="61">
        <f t="shared" si="6"/>
        <v>3.7427363716450446E-2</v>
      </c>
      <c r="H23" s="61">
        <f t="shared" si="7"/>
        <v>5.4112687469215568E-4</v>
      </c>
    </row>
    <row r="24" spans="1:8">
      <c r="A24" s="60" t="s">
        <v>29</v>
      </c>
      <c r="B24" s="88" t="s">
        <v>6</v>
      </c>
      <c r="C24" s="61" t="str">
        <f>IFERROR((st_DL/(k_decay_ow_state*Rad_Spec!V24*st_IFD_ow*st_EF_ow))*1,".")</f>
        <v>.</v>
      </c>
      <c r="D24" s="61" t="str">
        <f>IFERROR((st_DL/(k_decay_ow_state*Rad_Spec!AN24*st_IRA_ow*(1/s_PEFm_pp_state)*st_SLF*st_ET_ow*st_EF_ow))*1,".")</f>
        <v>.</v>
      </c>
      <c r="E24" s="61" t="str">
        <f>IFERROR((st_DL/(k_decay_ow_state*Rad_Spec!AN24*st_IRA_ow*(1/s_PEF)*st_SLF*st_ET_ow*st_EF_ow))*1,".")</f>
        <v>.</v>
      </c>
      <c r="F24" s="61">
        <f>IFERROR((st_DL/(k_decay_ow_state*Rad_Spec!AY24*st_GSF_s*st_Fam*st_Foffset*acf!H24*st_ET_ow*(1/24)*st_EF_ow*(1/365)))*1,".")</f>
        <v>30004.322657580935</v>
      </c>
      <c r="G24" s="61">
        <f t="shared" si="6"/>
        <v>30004.322657580939</v>
      </c>
      <c r="H24" s="61">
        <f t="shared" si="7"/>
        <v>30004.322657580939</v>
      </c>
    </row>
    <row r="25" spans="1:8">
      <c r="A25" s="62" t="s">
        <v>30</v>
      </c>
      <c r="B25" s="88" t="s">
        <v>8</v>
      </c>
      <c r="C25" s="61" t="str">
        <f>IFERROR((st_DL/(k_decay_ow_state*Rad_Spec!V25*st_IFD_ow*st_EF_ow))*1,".")</f>
        <v>.</v>
      </c>
      <c r="D25" s="61">
        <f>IFERROR((st_DL/(k_decay_ow_state*Rad_Spec!AN25*st_IRA_ow*(1/s_PEFm_pp_state)*st_SLF*st_ET_ow*st_EF_ow))*1,".")</f>
        <v>3.1600670974010505</v>
      </c>
      <c r="E25" s="61">
        <f>IFERROR((st_DL/(k_decay_ow_state*Rad_Spec!AN25*st_IRA_ow*(1/s_PEF)*st_SLF*st_ET_ow*st_EF_ow))*1,".")</f>
        <v>292.01725192535656</v>
      </c>
      <c r="F25" s="61">
        <f>IFERROR((st_DL/(k_decay_ow_state*Rad_Spec!AY25*st_GSF_s*st_Fam*st_Foffset*acf!H25*st_ET_ow*(1/24)*st_EF_ow*(1/365)))*1,".")</f>
        <v>58712.784869654701</v>
      </c>
      <c r="G25" s="61">
        <f t="shared" si="6"/>
        <v>290.57204624114246</v>
      </c>
      <c r="H25" s="61">
        <f t="shared" si="7"/>
        <v>3.1598970239385378</v>
      </c>
    </row>
    <row r="26" spans="1:8">
      <c r="A26" s="60" t="s">
        <v>31</v>
      </c>
      <c r="B26" s="88" t="s">
        <v>6</v>
      </c>
      <c r="C26" s="61">
        <f>IFERROR((st_DL/(k_decay_ow_state*Rad_Spec!V26*st_IFD_ow*st_EF_ow))*1,".")</f>
        <v>8.2596698900991528E-2</v>
      </c>
      <c r="D26" s="61">
        <f>IFERROR((st_DL/(k_decay_ow_state*Rad_Spec!AN26*st_IRA_ow*(1/s_PEFm_pp_state)*st_SLF*st_ET_ow*st_EF_ow))*1,".")</f>
        <v>7.4095004431633731E-5</v>
      </c>
      <c r="E26" s="61">
        <f>IFERROR((st_DL/(k_decay_ow_state*Rad_Spec!AN26*st_IRA_ow*(1/s_PEF)*st_SLF*st_ET_ow*st_EF_ow))*1,".")</f>
        <v>6.8470127084699671E-3</v>
      </c>
      <c r="F26" s="61">
        <f>IFERROR((st_DL/(k_decay_ow_state*Rad_Spec!AY26*st_GSF_s*st_Fam*st_Foffset*acf!H26*st_ET_ow*(1/24)*st_EF_ow*(1/365)))*1,".")</f>
        <v>254.63361649859843</v>
      </c>
      <c r="G26" s="61">
        <f t="shared" si="6"/>
        <v>6.3227094913001066E-3</v>
      </c>
      <c r="H26" s="61">
        <f t="shared" si="7"/>
        <v>7.4028574091905745E-5</v>
      </c>
    </row>
    <row r="27" spans="1:8">
      <c r="A27" s="60" t="s">
        <v>32</v>
      </c>
      <c r="B27" s="88" t="s">
        <v>6</v>
      </c>
      <c r="C27" s="61" t="str">
        <f>IFERROR((st_DL/(k_decay_ow_state*Rad_Spec!V27*st_IFD_ow*st_EF_ow))*1,".")</f>
        <v>.</v>
      </c>
      <c r="D27" s="61" t="str">
        <f>IFERROR((st_DL/(k_decay_ow_state*Rad_Spec!AN27*st_IRA_ow*(1/s_PEFm_pp_state)*st_SLF*st_ET_ow*st_EF_ow))*1,".")</f>
        <v>.</v>
      </c>
      <c r="E27" s="61" t="str">
        <f>IFERROR((st_DL/(k_decay_ow_state*Rad_Spec!AN27*st_IRA_ow*(1/s_PEF)*st_SLF*st_ET_ow*st_EF_ow))*1,".")</f>
        <v>.</v>
      </c>
      <c r="F27" s="61">
        <f>IFERROR((st_DL/(k_decay_ow_state*Rad_Spec!AY27*st_GSF_s*st_Fam*st_Foffset*acf!H27*st_ET_ow*(1/24)*st_EF_ow*(1/365)))*1,".")</f>
        <v>333.87019743955045</v>
      </c>
      <c r="G27" s="61">
        <f t="shared" si="6"/>
        <v>333.87019743955045</v>
      </c>
      <c r="H27" s="61">
        <f t="shared" si="7"/>
        <v>333.87019743955045</v>
      </c>
    </row>
    <row r="28" spans="1:8">
      <c r="A28" s="60" t="s">
        <v>33</v>
      </c>
      <c r="B28" s="88" t="s">
        <v>6</v>
      </c>
      <c r="C28" s="61" t="str">
        <f>IFERROR((st_DL/(k_decay_ow_state*Rad_Spec!V28*st_IFD_ow*st_EF_ow))*1,".")</f>
        <v>.</v>
      </c>
      <c r="D28" s="61" t="str">
        <f>IFERROR((st_DL/(k_decay_ow_state*Rad_Spec!AN28*st_IRA_ow*(1/s_PEFm_pp_state)*st_SLF*st_ET_ow*st_EF_ow))*1,".")</f>
        <v>.</v>
      </c>
      <c r="E28" s="61" t="str">
        <f>IFERROR((st_DL/(k_decay_ow_state*Rad_Spec!AN28*st_IRA_ow*(1/s_PEF)*st_SLF*st_ET_ow*st_EF_ow))*1,".")</f>
        <v>.</v>
      </c>
      <c r="F28" s="61">
        <f>IFERROR((st_DL/(k_decay_ow_state*Rad_Spec!AY28*st_GSF_s*st_Fam*st_Foffset*acf!H28*st_ET_ow*(1/24)*st_EF_ow*(1/365)))*1,".")</f>
        <v>10.980902711679503</v>
      </c>
      <c r="G28" s="61">
        <f t="shared" si="6"/>
        <v>10.980902711679503</v>
      </c>
      <c r="H28" s="61">
        <f t="shared" si="7"/>
        <v>10.980902711679503</v>
      </c>
    </row>
    <row r="29" spans="1:8">
      <c r="A29" s="60" t="s">
        <v>34</v>
      </c>
      <c r="B29" s="88" t="s">
        <v>6</v>
      </c>
      <c r="C29" s="61" t="str">
        <f>IFERROR((st_DL/(k_decay_ow_state*Rad_Spec!V29*st_IFD_ow*st_EF_ow))*1,".")</f>
        <v>.</v>
      </c>
      <c r="D29" s="61" t="str">
        <f>IFERROR((st_DL/(k_decay_ow_state*Rad_Spec!AN29*st_IRA_ow*(1/s_PEFm_pp_state)*st_SLF*st_ET_ow*st_EF_ow))*1,".")</f>
        <v>.</v>
      </c>
      <c r="E29" s="61" t="str">
        <f>IFERROR((st_DL/(k_decay_ow_state*Rad_Spec!AN29*st_IRA_ow*(1/s_PEF)*st_SLF*st_ET_ow*st_EF_ow))*1,".")</f>
        <v>.</v>
      </c>
      <c r="F29" s="61">
        <f>IFERROR((st_DL/(k_decay_ow_state*Rad_Spec!AY29*st_GSF_s*st_Fam*st_Foffset*acf!H29*st_ET_ow*(1/24)*st_EF_ow*(1/365)))*1,".")</f>
        <v>8.3515536452584609</v>
      </c>
      <c r="G29" s="61">
        <f t="shared" si="6"/>
        <v>8.3515536452584609</v>
      </c>
      <c r="H29" s="61">
        <f t="shared" si="7"/>
        <v>8.3515536452584609</v>
      </c>
    </row>
    <row r="30" spans="1:8">
      <c r="A30" s="60" t="s">
        <v>35</v>
      </c>
      <c r="B30" s="88" t="s">
        <v>6</v>
      </c>
      <c r="C30" s="61">
        <f>IFERROR((st_DL/(k_decay_ow_state*Rad_Spec!V30*st_IFD_ow*st_EF_ow))*1,".")</f>
        <v>0.80499517092958528</v>
      </c>
      <c r="D30" s="61">
        <f>IFERROR((st_DL/(k_decay_ow_state*Rad_Spec!AN30*st_IRA_ow*(1/s_PEFm_pp_state)*st_SLF*st_ET_ow*st_EF_ow))*1,".")</f>
        <v>5.4312357617362591E-4</v>
      </c>
      <c r="E30" s="61">
        <f>IFERROR((st_DL/(k_decay_ow_state*Rad_Spec!AN30*st_IRA_ow*(1/s_PEF)*st_SLF*st_ET_ow*st_EF_ow))*1,".")</f>
        <v>5.0189267911600249E-2</v>
      </c>
      <c r="F30" s="61">
        <f>IFERROR((st_DL/(k_decay_ow_state*Rad_Spec!AY30*st_GSF_s*st_Fam*st_Foffset*acf!H30*st_ET_ow*(1/24)*st_EF_ow*(1/365)))*1,".")</f>
        <v>40437.694720939318</v>
      </c>
      <c r="G30" s="61">
        <f t="shared" si="6"/>
        <v>4.724369301427804E-2</v>
      </c>
      <c r="H30" s="61">
        <f t="shared" si="7"/>
        <v>5.4275737497711711E-4</v>
      </c>
    </row>
    <row r="31" spans="1:8">
      <c r="A31" s="63" t="s">
        <v>7</v>
      </c>
      <c r="B31" s="82" t="s">
        <v>6</v>
      </c>
      <c r="C31" s="67">
        <f>IFERROR(1/SUM(1/C32,1/C33,1/C34,1/C35,1/C36,1/C37,1/C38,1/C41,1/C44),0)</f>
        <v>4.1190187261298569E-2</v>
      </c>
      <c r="D31" s="67">
        <f t="shared" ref="D31:E31" si="8">IFERROR(1/SUM(1/D32,1/D33,1/D34,1/D35,1/D36,1/D37,1/D38,1/D41,1/D44),0)</f>
        <v>2.6125108836038887E-5</v>
      </c>
      <c r="E31" s="67">
        <f t="shared" si="8"/>
        <v>2.4141837035122661E-3</v>
      </c>
      <c r="F31" s="67">
        <f>IFERROR(1/SUM(1/F32,1/F33,1/F34,1/F35,1/F36,1/F37,1/F38,1/F39,1/F40,1/F41,1/F42,1/F43,1/F44),0)</f>
        <v>35.388275469427811</v>
      </c>
      <c r="G31" s="68">
        <f t="shared" ref="G31:H31" si="9">IFERROR(1/SUM(1/G32,1/G33,1/G34,1/G35,1/G36,1/G37,1/G38,1/G39,1/G40,1/G41,1/G42,1/G43,1/G44),0)</f>
        <v>2.2803739350927056E-3</v>
      </c>
      <c r="H31" s="68">
        <f t="shared" si="9"/>
        <v>2.610853007901219E-5</v>
      </c>
    </row>
    <row r="32" spans="1:8">
      <c r="A32" s="65" t="s">
        <v>390</v>
      </c>
      <c r="B32" s="89">
        <v>1</v>
      </c>
      <c r="C32" s="69">
        <f>IFERROR(C3/$B32,0)</f>
        <v>0.20203800368428806</v>
      </c>
      <c r="D32" s="69">
        <f>IFERROR(D3/$B32,0)</f>
        <v>5.702520728428486E-5</v>
      </c>
      <c r="E32" s="69">
        <f>IFERROR(E3/$B32,0)</f>
        <v>5.2696173240518096E-3</v>
      </c>
      <c r="F32" s="69">
        <f>IFERROR(F3/$B32,0)</f>
        <v>895.65583753236285</v>
      </c>
      <c r="G32" s="70">
        <f t="shared" ref="G32:G44" si="10">(IF(AND(C32&lt;&gt;0,E32&lt;&gt;0,F32&lt;&gt;0),1/((1/C32)+(1/E32)+(1/F32)),IF(AND(C32&lt;&gt;0,E32&lt;&gt;0,F32=0), 1/((1/C32)+(1/E32)),IF(AND(C32&lt;&gt;0,E32=0,F32&lt;&gt;0),1/((1/C32)+(1/F32)),IF(AND(C32=0,E32&lt;&gt;0,F32&lt;&gt;0),1/((1/E32)+(1/F32)),IF(AND(C32&lt;&gt;0,E32=0,F32=0),1/(1/C32),IF(AND(C32=0,E32&lt;&gt;0,F32=0),1/(1/E32),IF(AND(C32=0,E32=0,F32&lt;&gt;0),1/(1/F32),IF(AND(C32=0,E32=0,F32=0),0)))))))))</f>
        <v>5.1356378238212553E-3</v>
      </c>
      <c r="H32" s="70">
        <f t="shared" ref="H32:H44" si="11">(IF(AND(C32&lt;&gt;0,D32&lt;&gt;0,F32&lt;&gt;0),1/((1/C32)+(1/D32)+(1/F32)),IF(AND(C32&lt;&gt;0,D32&lt;&gt;0,F32=0), 1/((1/C32)+(1/D32)),IF(AND(C32&lt;&gt;0,D32=0,F32&lt;&gt;0),1/((1/C32)+(1/F32)),IF(AND(C32=0,D32&lt;&gt;0,F32&lt;&gt;0),1/((1/D32)+(1/F32)),IF(AND(C32&lt;&gt;0,D32=0,F32=0),1/(1/C32),IF(AND(C32=0,D32&lt;&gt;0,F32=0),1/(1/D32),IF(AND(C32=0,D32=0,F32&lt;&gt;0),1/(1/F32),IF(AND(C32=0,D32=0,F32=0),0)))))))))</f>
        <v>5.7009112837925875E-5</v>
      </c>
    </row>
    <row r="33" spans="1:8">
      <c r="A33" s="65" t="s">
        <v>391</v>
      </c>
      <c r="B33" s="89">
        <v>1</v>
      </c>
      <c r="C33" s="71">
        <f t="shared" ref="C33:F34" si="12">IFERROR(C13/$B33,0)</f>
        <v>0.38519395094948383</v>
      </c>
      <c r="D33" s="71">
        <f t="shared" si="12"/>
        <v>4.4398197099907507E-4</v>
      </c>
      <c r="E33" s="71">
        <f t="shared" si="12"/>
        <v>4.1027734880117663E-2</v>
      </c>
      <c r="F33" s="71">
        <f t="shared" si="12"/>
        <v>797.08386298463518</v>
      </c>
      <c r="G33" s="70">
        <f t="shared" si="10"/>
        <v>3.7076715496058878E-2</v>
      </c>
      <c r="H33" s="70">
        <f t="shared" si="11"/>
        <v>4.4347057125586212E-4</v>
      </c>
    </row>
    <row r="34" spans="1:8">
      <c r="A34" s="65" t="s">
        <v>392</v>
      </c>
      <c r="B34" s="89">
        <v>1</v>
      </c>
      <c r="C34" s="71">
        <f t="shared" si="12"/>
        <v>42.666410715936614</v>
      </c>
      <c r="D34" s="71">
        <f t="shared" si="12"/>
        <v>1.226792288286918</v>
      </c>
      <c r="E34" s="71">
        <f t="shared" si="12"/>
        <v>113.36610953716723</v>
      </c>
      <c r="F34" s="71">
        <f t="shared" si="12"/>
        <v>102.23696868699537</v>
      </c>
      <c r="G34" s="70">
        <f t="shared" si="10"/>
        <v>23.786973397054933</v>
      </c>
      <c r="H34" s="70">
        <f t="shared" si="11"/>
        <v>1.1787549423939192</v>
      </c>
    </row>
    <row r="35" spans="1:8">
      <c r="A35" s="65" t="s">
        <v>393</v>
      </c>
      <c r="B35" s="89">
        <v>1</v>
      </c>
      <c r="C35" s="71">
        <f>IFERROR(C30/$B35,0)</f>
        <v>0.80499517092958528</v>
      </c>
      <c r="D35" s="71">
        <f>IFERROR(D30/$B35,0)</f>
        <v>5.4312357617362591E-4</v>
      </c>
      <c r="E35" s="71">
        <f>IFERROR(E30/$B35,0)</f>
        <v>5.0189267911600249E-2</v>
      </c>
      <c r="F35" s="71">
        <f>IFERROR(F30/$B35,0)</f>
        <v>40437.694720939318</v>
      </c>
      <c r="G35" s="70">
        <f t="shared" si="10"/>
        <v>4.724369301427804E-2</v>
      </c>
      <c r="H35" s="70">
        <f t="shared" si="11"/>
        <v>5.4275737497711711E-4</v>
      </c>
    </row>
    <row r="36" spans="1:8">
      <c r="A36" s="65" t="s">
        <v>394</v>
      </c>
      <c r="B36" s="89">
        <v>1</v>
      </c>
      <c r="C36" s="71">
        <f>IFERROR(C26/$B36,0)</f>
        <v>8.2596698900991528E-2</v>
      </c>
      <c r="D36" s="71">
        <f>IFERROR(D26/$B36,0)</f>
        <v>7.4095004431633731E-5</v>
      </c>
      <c r="E36" s="71">
        <f>IFERROR(E26/$B36,0)</f>
        <v>6.8470127084699671E-3</v>
      </c>
      <c r="F36" s="71">
        <f>IFERROR(F26/$B36,0)</f>
        <v>254.63361649859843</v>
      </c>
      <c r="G36" s="70">
        <f t="shared" si="10"/>
        <v>6.3227094913001066E-3</v>
      </c>
      <c r="H36" s="70">
        <f t="shared" si="11"/>
        <v>7.4028574091905745E-5</v>
      </c>
    </row>
    <row r="37" spans="1:8">
      <c r="A37" s="65" t="s">
        <v>395</v>
      </c>
      <c r="B37" s="89">
        <v>1</v>
      </c>
      <c r="C37" s="71">
        <f>IFERROR(C22/$B37,0)</f>
        <v>0.41381277863046956</v>
      </c>
      <c r="D37" s="71">
        <f>IFERROR(D22/$B37,0)</f>
        <v>6.651810742673421E-4</v>
      </c>
      <c r="E37" s="71">
        <f>IFERROR(E22/$B37,0)</f>
        <v>6.1468425623006258E-2</v>
      </c>
      <c r="F37" s="71">
        <f>IFERROR(F22/$B37,0)</f>
        <v>1772.0305239530294</v>
      </c>
      <c r="G37" s="70">
        <f t="shared" si="10"/>
        <v>5.3517058054592448E-2</v>
      </c>
      <c r="H37" s="70">
        <f t="shared" si="11"/>
        <v>6.6411329970414727E-4</v>
      </c>
    </row>
    <row r="38" spans="1:8">
      <c r="A38" s="65" t="s">
        <v>396</v>
      </c>
      <c r="B38" s="89">
        <v>1</v>
      </c>
      <c r="C38" s="71">
        <f>IFERROR(C2/$B38,0)</f>
        <v>1.0677656153262893</v>
      </c>
      <c r="D38" s="71">
        <f>IFERROR(D2/$B38,0)</f>
        <v>6.0938701901833842E-4</v>
      </c>
      <c r="E38" s="71">
        <f>IFERROR(E2/$B38,0)</f>
        <v>5.6312577286435996E-2</v>
      </c>
      <c r="F38" s="71">
        <f>IFERROR(F2/$B38,0)</f>
        <v>1486.2088149753049</v>
      </c>
      <c r="G38" s="70">
        <f t="shared" si="10"/>
        <v>5.3489579341622295E-2</v>
      </c>
      <c r="H38" s="70">
        <f t="shared" si="11"/>
        <v>6.0903918311446589E-4</v>
      </c>
    </row>
    <row r="39" spans="1:8">
      <c r="A39" s="65" t="s">
        <v>397</v>
      </c>
      <c r="B39" s="89">
        <v>1</v>
      </c>
      <c r="C39" s="71">
        <f>IFERROR(C11/$B39,0)</f>
        <v>0</v>
      </c>
      <c r="D39" s="71">
        <f>IFERROR(D11/$B39,0)</f>
        <v>0</v>
      </c>
      <c r="E39" s="71">
        <f>IFERROR(E11/$B39,0)</f>
        <v>0</v>
      </c>
      <c r="F39" s="71">
        <f>IFERROR(F11/$B39,0)</f>
        <v>771.45425500379372</v>
      </c>
      <c r="G39" s="70">
        <f t="shared" si="10"/>
        <v>771.45425500379383</v>
      </c>
      <c r="H39" s="70">
        <f t="shared" si="11"/>
        <v>771.45425500379383</v>
      </c>
    </row>
    <row r="40" spans="1:8">
      <c r="A40" s="65" t="s">
        <v>398</v>
      </c>
      <c r="B40" s="89">
        <v>1</v>
      </c>
      <c r="C40" s="71">
        <f>IFERROR(C4/$B40,0)</f>
        <v>0</v>
      </c>
      <c r="D40" s="71">
        <f>IFERROR(D4/$B40,0)</f>
        <v>0</v>
      </c>
      <c r="E40" s="71">
        <f>IFERROR(E4/$B40,0)</f>
        <v>0</v>
      </c>
      <c r="F40" s="71">
        <f>IFERROR(F4/$B40,0)</f>
        <v>92752.517403910344</v>
      </c>
      <c r="G40" s="70">
        <f t="shared" si="10"/>
        <v>92752.517403910344</v>
      </c>
      <c r="H40" s="70">
        <f t="shared" si="11"/>
        <v>92752.517403910344</v>
      </c>
    </row>
    <row r="41" spans="1:8">
      <c r="A41" s="65" t="s">
        <v>399</v>
      </c>
      <c r="B41" s="90">
        <v>0.99987999999999999</v>
      </c>
      <c r="C41" s="71">
        <f>IFERROR(C8/$B41,0)</f>
        <v>208.18534967425771</v>
      </c>
      <c r="D41" s="71">
        <f>IFERROR(D8/$B41,0)</f>
        <v>0.157601245518148</v>
      </c>
      <c r="E41" s="71">
        <f>IFERROR(E8/$B41,0)</f>
        <v>14.56370424984752</v>
      </c>
      <c r="F41" s="71">
        <f>IFERROR(F8/$B41,0)</f>
        <v>132.35020725993729</v>
      </c>
      <c r="G41" s="70">
        <f t="shared" si="10"/>
        <v>12.342178508913308</v>
      </c>
      <c r="H41" s="70">
        <f t="shared" si="11"/>
        <v>0.15729486449344737</v>
      </c>
    </row>
    <row r="42" spans="1:8">
      <c r="A42" s="65" t="s">
        <v>400</v>
      </c>
      <c r="B42" s="89">
        <v>0.97898250799999997</v>
      </c>
      <c r="C42" s="71">
        <f>IFERROR(C19/$B42,0)</f>
        <v>0</v>
      </c>
      <c r="D42" s="71">
        <f>IFERROR(D19/$B42,0)</f>
        <v>0</v>
      </c>
      <c r="E42" s="71">
        <f>IFERROR(E19/$B42,0)</f>
        <v>0</v>
      </c>
      <c r="F42" s="71">
        <f>IFERROR(F19/$B42,0)</f>
        <v>625908.17750603077</v>
      </c>
      <c r="G42" s="70">
        <f t="shared" si="10"/>
        <v>625908.17750603077</v>
      </c>
      <c r="H42" s="70">
        <f t="shared" si="11"/>
        <v>625908.17750603077</v>
      </c>
    </row>
    <row r="43" spans="1:8">
      <c r="A43" s="65" t="s">
        <v>401</v>
      </c>
      <c r="B43" s="89">
        <v>2.0897492E-2</v>
      </c>
      <c r="C43" s="71">
        <f>IFERROR(C28/$B43,0)</f>
        <v>0</v>
      </c>
      <c r="D43" s="71">
        <f>IFERROR(D28/$B43,0)</f>
        <v>0</v>
      </c>
      <c r="E43" s="71">
        <f>IFERROR(E28/$B43,0)</f>
        <v>0</v>
      </c>
      <c r="F43" s="71">
        <f>IFERROR(F28/$B43,0)</f>
        <v>525.46509943296087</v>
      </c>
      <c r="G43" s="70">
        <f t="shared" si="10"/>
        <v>525.46509943296087</v>
      </c>
      <c r="H43" s="70">
        <f t="shared" si="11"/>
        <v>525.46509943296087</v>
      </c>
    </row>
    <row r="44" spans="1:8">
      <c r="A44" s="65" t="s">
        <v>402</v>
      </c>
      <c r="B44" s="89">
        <v>0.99987999999999999</v>
      </c>
      <c r="C44" s="71">
        <f>IFERROR(C15/$B44,0)</f>
        <v>726.99645917994769</v>
      </c>
      <c r="D44" s="71">
        <f>IFERROR(D15/$B44,0)</f>
        <v>80.155361259230006</v>
      </c>
      <c r="E44" s="71">
        <f>IFERROR(E15/$B44,0)</f>
        <v>7407.0415597362035</v>
      </c>
      <c r="F44" s="71">
        <f>IFERROR(F15/$B44,0)</f>
        <v>6705.208208115283</v>
      </c>
      <c r="G44" s="70">
        <f t="shared" si="10"/>
        <v>602.5305128356863</v>
      </c>
      <c r="H44" s="70">
        <f t="shared" si="11"/>
        <v>71.426366535250139</v>
      </c>
    </row>
    <row r="45" spans="1:8">
      <c r="A45" s="63" t="s">
        <v>15</v>
      </c>
      <c r="B45" s="82" t="s">
        <v>6</v>
      </c>
      <c r="C45" s="67">
        <f>IFERROR(1/SUM(1/C46),0)</f>
        <v>3.0305700552643211</v>
      </c>
      <c r="D45" s="67">
        <f t="shared" ref="D45:E45" si="13">IFERROR(1/SUM(1/D46),0)</f>
        <v>0.13415282576950471</v>
      </c>
      <c r="E45" s="67">
        <f t="shared" si="13"/>
        <v>12.396869532121885</v>
      </c>
      <c r="F45" s="67">
        <f>IFERROR(1/SUM(1/F46,1/F47),0)</f>
        <v>39.636648090355827</v>
      </c>
      <c r="G45" s="68">
        <f>IFERROR(1/SUM(1/G46,1/G47),0)</f>
        <v>2.2942850731725875</v>
      </c>
      <c r="H45" s="68">
        <f t="shared" ref="H45" si="14">IFERROR(1/SUM(1/H46,1/H47),0)</f>
        <v>0.12805105261888752</v>
      </c>
    </row>
    <row r="46" spans="1:8">
      <c r="A46" s="65" t="s">
        <v>403</v>
      </c>
      <c r="B46" s="89">
        <v>1</v>
      </c>
      <c r="C46" s="71">
        <f>IFERROR(C10/$B46,0)</f>
        <v>3.0305700552643211</v>
      </c>
      <c r="D46" s="71">
        <f>IFERROR(D10/$B46,0)</f>
        <v>0.13415282576950471</v>
      </c>
      <c r="E46" s="71">
        <f>IFERROR(E10/$B46,0)</f>
        <v>12.396869532121885</v>
      </c>
      <c r="F46" s="71">
        <f>IFERROR(F10/$B46,0)</f>
        <v>6793.5705919613638</v>
      </c>
      <c r="G46" s="70">
        <f>(IF(AND(C46&lt;&gt;0,E46&lt;&gt;0,F46&lt;&gt;0),1/((1/C46)+(1/E46)+(1/F46)),IF(AND(C46&lt;&gt;0,E46&lt;&gt;0,F46=0), 1/((1/C46)+(1/E46)),IF(AND(C46&lt;&gt;0,E46=0,F46&lt;&gt;0),1/((1/C46)+(1/F46)),IF(AND(C46=0,E46&lt;&gt;0,F46&lt;&gt;0),1/((1/E46)+(1/F46)),IF(AND(C46&lt;&gt;0,E46=0,F46=0),1/(1/C46),IF(AND(C46=0,E46&lt;&gt;0,F46=0),1/(1/E46),IF(AND(C46=0,E46=0,F46&lt;&gt;0),1/(1/F46),IF(AND(C46=0,E46=0,F46=0),0)))))))))</f>
        <v>2.4343714904117131</v>
      </c>
      <c r="H46" s="70">
        <f>(IF(AND(C46&lt;&gt;0,D46&lt;&gt;0,F46&lt;&gt;0),1/((1/C46)+(1/D46)+(1/F46)),IF(AND(C46&lt;&gt;0,D46&lt;&gt;0,F46=0), 1/((1/C46)+(1/D46)),IF(AND(C46&lt;&gt;0,D46=0,F46&lt;&gt;0),1/((1/C46)+(1/F46)),IF(AND(C46=0,D46&lt;&gt;0,F46&lt;&gt;0),1/((1/D46)+(1/F46)),IF(AND(C46&lt;&gt;0,D46=0,F46=0),1/(1/C46),IF(AND(C46=0,D46&lt;&gt;0,F46=0),1/(1/D46),IF(AND(C46=0,D46=0,F46&lt;&gt;0),1/(1/F46),IF(AND(C46=0,D46=0,F46=0),0)))))))))</f>
        <v>0.12846364879769254</v>
      </c>
    </row>
    <row r="47" spans="1:8">
      <c r="A47" s="65" t="s">
        <v>404</v>
      </c>
      <c r="B47" s="89">
        <v>0.94399</v>
      </c>
      <c r="C47" s="71">
        <f>IFERROR(C6/$B47,0)</f>
        <v>0</v>
      </c>
      <c r="D47" s="71">
        <f>IFERROR(D6/$B47,0)</f>
        <v>0</v>
      </c>
      <c r="E47" s="71">
        <f>IFERROR(E6/$B47,0)</f>
        <v>0</v>
      </c>
      <c r="F47" s="71">
        <f>IFERROR(F6/$B47,0)</f>
        <v>39.869262724270691</v>
      </c>
      <c r="G47" s="70">
        <f>(IF(AND(C47&lt;&gt;0,E47&lt;&gt;0,F47&lt;&gt;0),1/((1/C47)+(1/E47)+(1/F47)),IF(AND(C47&lt;&gt;0,E47&lt;&gt;0,F47=0), 1/((1/C47)+(1/E47)),IF(AND(C47&lt;&gt;0,E47=0,F47&lt;&gt;0),1/((1/C47)+(1/F47)),IF(AND(C47=0,E47&lt;&gt;0,F47&lt;&gt;0),1/((1/E47)+(1/F47)),IF(AND(C47&lt;&gt;0,E47=0,F47=0),1/(1/C47),IF(AND(C47=0,E47&lt;&gt;0,F47=0),1/(1/E47),IF(AND(C47=0,E47=0,F47&lt;&gt;0),1/(1/F47),IF(AND(C47=0,E47=0,F47=0),0)))))))))</f>
        <v>39.869262724270691</v>
      </c>
      <c r="H47" s="70">
        <f>(IF(AND(C47&lt;&gt;0,D47&lt;&gt;0,F47&lt;&gt;0),1/((1/C47)+(1/D47)+(1/F47)),IF(AND(C47&lt;&gt;0,D47&lt;&gt;0,F47=0), 1/((1/C47)+(1/D47)),IF(AND(C47&lt;&gt;0,D47=0,F47&lt;&gt;0),1/((1/C47)+(1/F47)),IF(AND(C47=0,D47&lt;&gt;0,F47&lt;&gt;0),1/((1/D47)+(1/F47)),IF(AND(C47&lt;&gt;0,D47=0,F47=0),1/(1/C47),IF(AND(C47=0,D47&lt;&gt;0,F47=0),1/(1/D47),IF(AND(C47=0,D47=0,F47&lt;&gt;0),1/(1/F47),IF(AND(C47=0,D47=0,F47=0),0)))))))))</f>
        <v>39.869262724270691</v>
      </c>
    </row>
    <row r="48" spans="1:8">
      <c r="A48" s="63" t="s">
        <v>28</v>
      </c>
      <c r="B48" s="82" t="s">
        <v>6</v>
      </c>
      <c r="C48" s="67">
        <f>IFERROR(1/SUM(1/C49,1/C52,1/C54,1/C58,1/C59,1/C61),0)</f>
        <v>1.8840961818114118E-2</v>
      </c>
      <c r="D48" s="67">
        <f>IFERROR(1/SUM(1/D49,1/D50,1/D51,1/D52,1/D54,1/D58,1/D59,1/D61),0)</f>
        <v>2.6409640207644561E-4</v>
      </c>
      <c r="E48" s="67">
        <f>IFERROR(1/SUM(1/E49,1/E50,1/E51,1/E52,1/E54,1/E58,1/E59,1/E61),0)</f>
        <v>2.4404768380128526E-2</v>
      </c>
      <c r="F48" s="67">
        <f>IFERROR(1/SUM(1/F49,1/F50,1/F51,1/F52,1/F53,1/F54,1/F55,1/F56,1/F57,1/F58,1/F59,1/F60,1/F61,1/F62),0)</f>
        <v>12.92029634235351</v>
      </c>
      <c r="G48" s="68">
        <f t="shared" ref="G48:H48" si="15">IFERROR(1/SUM(1/G49,1/G50,1/G51,1/G52,1/G53,1/G54,1/G55,1/G56,1/G57,1/G58,1/G59,1/G60,1/G61,1/G62),0)</f>
        <v>1.0623736218969218E-2</v>
      </c>
      <c r="H48" s="68">
        <f t="shared" si="15"/>
        <v>2.6044044830133667E-4</v>
      </c>
    </row>
    <row r="49" spans="1:8">
      <c r="A49" s="65" t="s">
        <v>405</v>
      </c>
      <c r="B49" s="89">
        <v>1</v>
      </c>
      <c r="C49" s="71">
        <f>IFERROR(C23/$B49,0)</f>
        <v>0.14719911696998131</v>
      </c>
      <c r="D49" s="71">
        <f>IFERROR(D23/$B49,0)</f>
        <v>5.4312357617362591E-4</v>
      </c>
      <c r="E49" s="71">
        <f>IFERROR(E23/$B49,0)</f>
        <v>5.0189267911600249E-2</v>
      </c>
      <c r="F49" s="71">
        <f>IFERROR(F23/$B49,0)</f>
        <v>3105.2933525311764</v>
      </c>
      <c r="G49" s="70">
        <f t="shared" ref="G49:G62" si="16">(IF(AND(C49&lt;&gt;0,E49&lt;&gt;0,F49&lt;&gt;0),1/((1/C49)+(1/E49)+(1/F49)),IF(AND(C49&lt;&gt;0,E49&lt;&gt;0,F49=0), 1/((1/C49)+(1/E49)),IF(AND(C49&lt;&gt;0,E49=0,F49&lt;&gt;0),1/((1/C49)+(1/F49)),IF(AND(C49=0,E49&lt;&gt;0,F49&lt;&gt;0),1/((1/E49)+(1/F49)),IF(AND(C49&lt;&gt;0,E49=0,F49=0),1/(1/C49),IF(AND(C49=0,E49&lt;&gt;0,F49=0),1/(1/E49),IF(AND(C49=0,E49=0,F49&lt;&gt;0),1/(1/F49),IF(AND(C49=0,E49=0,F49=0),0)))))))))</f>
        <v>3.7427363716450446E-2</v>
      </c>
      <c r="H49" s="70">
        <f t="shared" ref="H49:H62" si="17">(IF(AND(C49&lt;&gt;0,D49&lt;&gt;0,F49&lt;&gt;0),1/((1/C49)+(1/D49)+(1/F49)),IF(AND(C49&lt;&gt;0,D49&lt;&gt;0,F49=0), 1/((1/C49)+(1/D49)),IF(AND(C49&lt;&gt;0,D49=0,F49&lt;&gt;0),1/((1/C49)+(1/F49)),IF(AND(C49=0,D49&lt;&gt;0,F49&lt;&gt;0),1/((1/D49)+(1/F49)),IF(AND(C49&lt;&gt;0,D49=0,F49=0),1/(1/C49),IF(AND(C49=0,D49&lt;&gt;0,F49=0),1/(1/D49),IF(AND(C49=0,D49=0,F49&lt;&gt;0),1/(1/F49),IF(AND(C49=0,D49=0,F49=0),0)))))))))</f>
        <v>5.4112687469215568E-4</v>
      </c>
    </row>
    <row r="50" spans="1:8">
      <c r="A50" s="65" t="s">
        <v>406</v>
      </c>
      <c r="B50" s="89">
        <v>1</v>
      </c>
      <c r="C50" s="71">
        <f>IFERROR(C25/$B50,0)</f>
        <v>0</v>
      </c>
      <c r="D50" s="71">
        <f>IFERROR(D25/$B50,0)</f>
        <v>3.1600670974010505</v>
      </c>
      <c r="E50" s="71">
        <f>IFERROR(E25/$B50,0)</f>
        <v>292.01725192535656</v>
      </c>
      <c r="F50" s="71">
        <f>IFERROR(F25/$B50,0)</f>
        <v>58712.784869654701</v>
      </c>
      <c r="G50" s="70">
        <f t="shared" si="16"/>
        <v>290.57204624114246</v>
      </c>
      <c r="H50" s="70">
        <f t="shared" si="17"/>
        <v>3.1598970239385378</v>
      </c>
    </row>
    <row r="51" spans="1:8">
      <c r="A51" s="65" t="s">
        <v>407</v>
      </c>
      <c r="B51" s="89">
        <v>1</v>
      </c>
      <c r="C51" s="71">
        <f>IFERROR(C21/$B51,0)</f>
        <v>0</v>
      </c>
      <c r="D51" s="71">
        <f>IFERROR(D21/$B51,0)</f>
        <v>2.7163306414667829</v>
      </c>
      <c r="E51" s="71">
        <f>IFERROR(E21/$B51,0)</f>
        <v>251.01220473898763</v>
      </c>
      <c r="F51" s="71">
        <f>IFERROR(F21/$B51,0)</f>
        <v>3216097357.9226594</v>
      </c>
      <c r="G51" s="70">
        <f t="shared" si="16"/>
        <v>251.01218514781394</v>
      </c>
      <c r="H51" s="70">
        <f t="shared" si="17"/>
        <v>2.7163306391725572</v>
      </c>
    </row>
    <row r="52" spans="1:8">
      <c r="A52" s="65" t="s">
        <v>408</v>
      </c>
      <c r="B52" s="89">
        <v>0.99980000000000002</v>
      </c>
      <c r="C52" s="71">
        <f>IFERROR(C17/$B52,0)</f>
        <v>296.57552195039557</v>
      </c>
      <c r="D52" s="71">
        <f>IFERROR(D17/$B52,0)</f>
        <v>0.44426137347591588</v>
      </c>
      <c r="E52" s="71">
        <f>IFERROR(E17/$B52,0)</f>
        <v>41.053554060835467</v>
      </c>
      <c r="F52" s="71">
        <f>IFERROR(F17/$B52,0)</f>
        <v>87.865604563696905</v>
      </c>
      <c r="G52" s="70">
        <f t="shared" si="16"/>
        <v>25.56807981825731</v>
      </c>
      <c r="H52" s="70">
        <f t="shared" si="17"/>
        <v>0.44136859207480478</v>
      </c>
    </row>
    <row r="53" spans="1:8">
      <c r="A53" s="65" t="s">
        <v>409</v>
      </c>
      <c r="B53" s="89">
        <v>2.0000000000000001E-4</v>
      </c>
      <c r="C53" s="71">
        <f>IFERROR(C5/$B53,0)</f>
        <v>0</v>
      </c>
      <c r="D53" s="71">
        <f>IFERROR(D5/$B53,0)</f>
        <v>0</v>
      </c>
      <c r="E53" s="71">
        <f>IFERROR(E5/$B53,0)</f>
        <v>0</v>
      </c>
      <c r="F53" s="71">
        <f>IFERROR(F5/$B53,0)</f>
        <v>855481897.20742738</v>
      </c>
      <c r="G53" s="70">
        <f t="shared" si="16"/>
        <v>855481897.20742726</v>
      </c>
      <c r="H53" s="70">
        <f t="shared" si="17"/>
        <v>855481897.20742726</v>
      </c>
    </row>
    <row r="54" spans="1:8">
      <c r="A54" s="65" t="s">
        <v>410</v>
      </c>
      <c r="B54" s="89">
        <v>0.99999979999999999</v>
      </c>
      <c r="C54" s="71">
        <f>IFERROR(C9/$B54,0)</f>
        <v>367.9978660245265</v>
      </c>
      <c r="D54" s="71">
        <f>IFERROR(D9/$B54,0)</f>
        <v>0.56553124665753041</v>
      </c>
      <c r="E54" s="71">
        <f>IFERROR(E9/$B54,0)</f>
        <v>52.259928487807706</v>
      </c>
      <c r="F54" s="71">
        <f>IFERROR(F9/$B54,0)</f>
        <v>15.655270938510093</v>
      </c>
      <c r="G54" s="70">
        <f t="shared" si="16"/>
        <v>11.664694576409161</v>
      </c>
      <c r="H54" s="70">
        <f t="shared" si="17"/>
        <v>0.5450058920881139</v>
      </c>
    </row>
    <row r="55" spans="1:8">
      <c r="A55" s="65" t="s">
        <v>411</v>
      </c>
      <c r="B55" s="89">
        <v>1.9999999999999999E-7</v>
      </c>
      <c r="C55" s="71">
        <f>IFERROR(C24/$B55,0)</f>
        <v>0</v>
      </c>
      <c r="D55" s="71">
        <f>IFERROR(D24/$B55,0)</f>
        <v>0</v>
      </c>
      <c r="E55" s="71">
        <f>IFERROR(E24/$B55,0)</f>
        <v>0</v>
      </c>
      <c r="F55" s="71">
        <f>IFERROR(F24/$B55,0)</f>
        <v>150021613287.90469</v>
      </c>
      <c r="G55" s="70">
        <f t="shared" si="16"/>
        <v>150021613287.90469</v>
      </c>
      <c r="H55" s="70">
        <f t="shared" si="17"/>
        <v>150021613287.90469</v>
      </c>
    </row>
    <row r="56" spans="1:8">
      <c r="A56" s="65" t="s">
        <v>412</v>
      </c>
      <c r="B56" s="89">
        <v>0.99979000004200003</v>
      </c>
      <c r="C56" s="71">
        <f>IFERROR(C20/$B56,0)</f>
        <v>0</v>
      </c>
      <c r="D56" s="71">
        <f>IFERROR(D20/$B56,0)</f>
        <v>0</v>
      </c>
      <c r="E56" s="71">
        <f>IFERROR(E20/$B56,0)</f>
        <v>0</v>
      </c>
      <c r="F56" s="71">
        <f>IFERROR(F20/$B56,0)</f>
        <v>278239.14431909285</v>
      </c>
      <c r="G56" s="70">
        <f t="shared" si="16"/>
        <v>278239.14431909285</v>
      </c>
      <c r="H56" s="70">
        <f t="shared" si="17"/>
        <v>278239.14431909285</v>
      </c>
    </row>
    <row r="57" spans="1:8">
      <c r="A57" s="65" t="s">
        <v>413</v>
      </c>
      <c r="B57" s="89">
        <v>2.0999995799999999E-4</v>
      </c>
      <c r="C57" s="71">
        <f>IFERROR(C29/$B57,0)</f>
        <v>0</v>
      </c>
      <c r="D57" s="71">
        <f>IFERROR(D29/$B57,0)</f>
        <v>0</v>
      </c>
      <c r="E57" s="71">
        <f>IFERROR(E29/$B57,0)</f>
        <v>0</v>
      </c>
      <c r="F57" s="71">
        <f>IFERROR(F29/$B57,0)</f>
        <v>39769.311026521544</v>
      </c>
      <c r="G57" s="70">
        <f t="shared" si="16"/>
        <v>39769.311026521544</v>
      </c>
      <c r="H57" s="70">
        <f t="shared" si="17"/>
        <v>39769.311026521544</v>
      </c>
    </row>
    <row r="58" spans="1:8">
      <c r="A58" s="65" t="s">
        <v>414</v>
      </c>
      <c r="B58" s="89">
        <v>1</v>
      </c>
      <c r="C58" s="71">
        <f>IFERROR(C16/$B58,0)</f>
        <v>5.9218035562636162E-2</v>
      </c>
      <c r="D58" s="71">
        <f>IFERROR(D16/$B58,0)</f>
        <v>9.2772352149060459E-4</v>
      </c>
      <c r="E58" s="71">
        <f>IFERROR(E16/$B58,0)</f>
        <v>8.5729595271887643E-2</v>
      </c>
      <c r="F58" s="71">
        <f>IFERROR(F16/$B58,0)</f>
        <v>8870.2040033028225</v>
      </c>
      <c r="G58" s="70">
        <f t="shared" si="16"/>
        <v>3.5024499169569026E-2</v>
      </c>
      <c r="H58" s="70">
        <f t="shared" si="17"/>
        <v>9.134136748331314E-4</v>
      </c>
    </row>
    <row r="59" spans="1:8">
      <c r="A59" s="65" t="s">
        <v>415</v>
      </c>
      <c r="B59" s="89">
        <v>1</v>
      </c>
      <c r="C59" s="71">
        <f>IFERROR(C7/$B59,0)</f>
        <v>31.462406680606691</v>
      </c>
      <c r="D59" s="71">
        <f>IFERROR(D7/$B59,0)</f>
        <v>3.8316252291700999E-2</v>
      </c>
      <c r="E59" s="71">
        <f>IFERROR(E7/$B59,0)</f>
        <v>3.5407497225307019</v>
      </c>
      <c r="F59" s="71">
        <f>IFERROR(F7/$B59,0)</f>
        <v>602.63790578680334</v>
      </c>
      <c r="G59" s="70">
        <f t="shared" si="16"/>
        <v>3.1658654162343214</v>
      </c>
      <c r="H59" s="70">
        <f t="shared" si="17"/>
        <v>3.8267215790969984E-2</v>
      </c>
    </row>
    <row r="60" spans="1:8">
      <c r="A60" s="65" t="s">
        <v>416</v>
      </c>
      <c r="B60" s="91">
        <v>1.9000000000000001E-8</v>
      </c>
      <c r="C60" s="71">
        <f>IFERROR(C12/$B60,0)</f>
        <v>0</v>
      </c>
      <c r="D60" s="71">
        <f>IFERROR(D12/$B60,0)</f>
        <v>0</v>
      </c>
      <c r="E60" s="71">
        <f>IFERROR(E12/$B60,0)</f>
        <v>0</v>
      </c>
      <c r="F60" s="71">
        <f>IFERROR(F12/$B60,0)</f>
        <v>7539173576.3383541</v>
      </c>
      <c r="G60" s="70">
        <f t="shared" si="16"/>
        <v>7539173576.3383541</v>
      </c>
      <c r="H60" s="70">
        <f t="shared" si="17"/>
        <v>7539173576.3383541</v>
      </c>
    </row>
    <row r="61" spans="1:8">
      <c r="A61" s="65" t="s">
        <v>417</v>
      </c>
      <c r="B61" s="89">
        <v>1</v>
      </c>
      <c r="C61" s="71">
        <f>IFERROR(C18/$B61,0)</f>
        <v>3.4062605579830388E-2</v>
      </c>
      <c r="D61" s="71">
        <f>IFERROR(D18/$B61,0)</f>
        <v>1.1953360757667405E-3</v>
      </c>
      <c r="E61" s="71">
        <f>IFERROR(E18/$B61,0)</f>
        <v>0.11045928621570139</v>
      </c>
      <c r="F61" s="71">
        <f>IFERROR(F18/$B61,0)</f>
        <v>2368705.6118447762</v>
      </c>
      <c r="G61" s="70">
        <f t="shared" si="16"/>
        <v>2.6034333005856454E-2</v>
      </c>
      <c r="H61" s="70">
        <f t="shared" si="17"/>
        <v>1.1548110681574848E-3</v>
      </c>
    </row>
    <row r="62" spans="1:8">
      <c r="A62" s="65" t="s">
        <v>418</v>
      </c>
      <c r="B62" s="89">
        <v>1.339E-6</v>
      </c>
      <c r="C62" s="71">
        <f>IFERROR(C27/$B62,0)</f>
        <v>0</v>
      </c>
      <c r="D62" s="71">
        <f>IFERROR(D27/$B62,0)</f>
        <v>0</v>
      </c>
      <c r="E62" s="71">
        <f>IFERROR(E27/$B62,0)</f>
        <v>0</v>
      </c>
      <c r="F62" s="71">
        <f>IFERROR(F27/$B62,0)</f>
        <v>249342940.58218855</v>
      </c>
      <c r="G62" s="70">
        <f t="shared" si="16"/>
        <v>249342940.58218855</v>
      </c>
      <c r="H62" s="70">
        <f t="shared" si="17"/>
        <v>249342940.58218855</v>
      </c>
    </row>
    <row r="63" spans="1:8">
      <c r="A63" s="63" t="s">
        <v>30</v>
      </c>
      <c r="B63" s="82" t="s">
        <v>6</v>
      </c>
      <c r="C63" s="67">
        <f>IFERROR(1/SUM(1/C66,1/C68,1/C72,1/C73,1/C75),0)</f>
        <v>2.1606519190075696E-2</v>
      </c>
      <c r="D63" s="67">
        <f>IFERROR(1/SUM(1/D64,1/D65,1/D66,1/D68,1/D72,1/D73,1/D75),0)</f>
        <v>5.1406097923777973E-4</v>
      </c>
      <c r="E63" s="67">
        <f t="shared" ref="E63" si="18">IFERROR(1/SUM(1/E64,1/E65,1/E66,1/E68,1/E72,1/E73,1/E75),0)</f>
        <v>4.7503635160953947E-2</v>
      </c>
      <c r="F63" s="67">
        <f>IFERROR(1/SUM(1/F64,1/F65,1/F66,1/F67,1/F68,1/F69,1/F70,1/F71,1/F72,1/F73,1/F74,1/F75,1/F76),0)</f>
        <v>12.97427885175358</v>
      </c>
      <c r="G63" s="68">
        <f t="shared" ref="G63:H63" si="19">IFERROR(1/SUM(1/G64,1/G65,1/G66,1/G67,1/G68,1/G69,1/G70,1/G71,1/G72,1/G73,1/G74,1/G75,1/G76),0)</f>
        <v>1.4834501021637969E-2</v>
      </c>
      <c r="H63" s="68">
        <f t="shared" si="19"/>
        <v>5.0209526568448281E-4</v>
      </c>
    </row>
    <row r="64" spans="1:8">
      <c r="A64" s="65" t="s">
        <v>406</v>
      </c>
      <c r="B64" s="89">
        <v>1</v>
      </c>
      <c r="C64" s="72">
        <f>IFERROR(C25/$B64,0)</f>
        <v>0</v>
      </c>
      <c r="D64" s="72">
        <f>IFERROR(D25/$B64,0)</f>
        <v>3.1600670974010505</v>
      </c>
      <c r="E64" s="72">
        <f>IFERROR(E25/$B64,0)</f>
        <v>292.01725192535656</v>
      </c>
      <c r="F64" s="72">
        <f>IFERROR(F25/$B64,0)</f>
        <v>58712.784869654701</v>
      </c>
      <c r="G64" s="70">
        <f t="shared" ref="G64:G76" si="20">(IF(AND(C64&lt;&gt;0,E64&lt;&gt;0,F64&lt;&gt;0),1/((1/C64)+(1/E64)+(1/F64)),IF(AND(C64&lt;&gt;0,E64&lt;&gt;0,F64=0), 1/((1/C64)+(1/E64)),IF(AND(C64&lt;&gt;0,E64=0,F64&lt;&gt;0),1/((1/C64)+(1/F64)),IF(AND(C64=0,E64&lt;&gt;0,F64&lt;&gt;0),1/((1/E64)+(1/F64)),IF(AND(C64&lt;&gt;0,E64=0,F64=0),1/(1/C64),IF(AND(C64=0,E64&lt;&gt;0,F64=0),1/(1/E64),IF(AND(C64=0,E64=0,F64&lt;&gt;0),1/(1/F64),IF(AND(C64=0,E64=0,F64=0),0)))))))))</f>
        <v>290.57204624114246</v>
      </c>
      <c r="H64" s="70">
        <f t="shared" ref="H64:H76" si="21">(IF(AND(C64&lt;&gt;0,D64&lt;&gt;0,F64&lt;&gt;0),1/((1/C64)+(1/D64)+(1/F64)),IF(AND(C64&lt;&gt;0,D64&lt;&gt;0,F64=0), 1/((1/C64)+(1/D64)),IF(AND(C64&lt;&gt;0,D64=0,F64&lt;&gt;0),1/((1/C64)+(1/F64)),IF(AND(C64=0,D64&lt;&gt;0,F64&lt;&gt;0),1/((1/D64)+(1/F64)),IF(AND(C64&lt;&gt;0,D64=0,F64=0),1/(1/C64),IF(AND(C64=0,D64&lt;&gt;0,F64=0),1/(1/D64),IF(AND(C64=0,D64=0,F64&lt;&gt;0),1/(1/F64),IF(AND(C64=0,D64=0,F64=0),0)))))))))</f>
        <v>3.1598970239385378</v>
      </c>
    </row>
    <row r="65" spans="1:8">
      <c r="A65" s="65" t="s">
        <v>407</v>
      </c>
      <c r="B65" s="89">
        <v>1</v>
      </c>
      <c r="C65" s="72">
        <f>IFERROR(C21/$B65,0)</f>
        <v>0</v>
      </c>
      <c r="D65" s="72">
        <f>IFERROR(D21/$B65,0)</f>
        <v>2.7163306414667829</v>
      </c>
      <c r="E65" s="72">
        <f>IFERROR(E21/$B65,0)</f>
        <v>251.01220473898763</v>
      </c>
      <c r="F65" s="72">
        <f>IFERROR(F21/$B65,0)</f>
        <v>3216097357.9226594</v>
      </c>
      <c r="G65" s="70">
        <f t="shared" si="20"/>
        <v>251.01218514781394</v>
      </c>
      <c r="H65" s="70">
        <f t="shared" si="21"/>
        <v>2.7163306391725572</v>
      </c>
    </row>
    <row r="66" spans="1:8">
      <c r="A66" s="65" t="s">
        <v>408</v>
      </c>
      <c r="B66" s="89">
        <v>0.99980000000000002</v>
      </c>
      <c r="C66" s="72">
        <f>IFERROR(C17/$B66,0)</f>
        <v>296.57552195039557</v>
      </c>
      <c r="D66" s="72">
        <f>IFERROR(D17/$B66,0)</f>
        <v>0.44426137347591588</v>
      </c>
      <c r="E66" s="72">
        <f>IFERROR(E17/$B66,0)</f>
        <v>41.053554060835467</v>
      </c>
      <c r="F66" s="72">
        <f>IFERROR(F17/$B66,0)</f>
        <v>87.865604563696905</v>
      </c>
      <c r="G66" s="70">
        <f t="shared" si="20"/>
        <v>25.56807981825731</v>
      </c>
      <c r="H66" s="70">
        <f t="shared" si="21"/>
        <v>0.44136859207480478</v>
      </c>
    </row>
    <row r="67" spans="1:8">
      <c r="A67" s="65" t="s">
        <v>409</v>
      </c>
      <c r="B67" s="89">
        <v>2.0000000000000001E-4</v>
      </c>
      <c r="C67" s="72">
        <f>IFERROR(C5/$B67,0)</f>
        <v>0</v>
      </c>
      <c r="D67" s="72">
        <f>IFERROR(D5/$B67,0)</f>
        <v>0</v>
      </c>
      <c r="E67" s="72">
        <f>IFERROR(E5/$B67,0)</f>
        <v>0</v>
      </c>
      <c r="F67" s="72">
        <f>IFERROR(F5/$B67,0)</f>
        <v>855481897.20742738</v>
      </c>
      <c r="G67" s="70">
        <f t="shared" si="20"/>
        <v>855481897.20742726</v>
      </c>
      <c r="H67" s="70">
        <f t="shared" si="21"/>
        <v>855481897.20742726</v>
      </c>
    </row>
    <row r="68" spans="1:8">
      <c r="A68" s="65" t="s">
        <v>410</v>
      </c>
      <c r="B68" s="89">
        <v>0.99999979999999999</v>
      </c>
      <c r="C68" s="72">
        <f>IFERROR(C9/$B68,0)</f>
        <v>367.9978660245265</v>
      </c>
      <c r="D68" s="72">
        <f>IFERROR(D9/$B68,0)</f>
        <v>0.56553124665753041</v>
      </c>
      <c r="E68" s="72">
        <f>IFERROR(E9/$B68,0)</f>
        <v>52.259928487807706</v>
      </c>
      <c r="F68" s="72">
        <f>IFERROR(F9/$B68,0)</f>
        <v>15.655270938510093</v>
      </c>
      <c r="G68" s="70">
        <f t="shared" si="20"/>
        <v>11.664694576409161</v>
      </c>
      <c r="H68" s="70">
        <f t="shared" si="21"/>
        <v>0.5450058920881139</v>
      </c>
    </row>
    <row r="69" spans="1:8">
      <c r="A69" s="65" t="s">
        <v>411</v>
      </c>
      <c r="B69" s="89">
        <v>1.9999999999999999E-7</v>
      </c>
      <c r="C69" s="72">
        <f>IFERROR(C24/$B69,0)</f>
        <v>0</v>
      </c>
      <c r="D69" s="72">
        <f>IFERROR(D24/$B69,0)</f>
        <v>0</v>
      </c>
      <c r="E69" s="72">
        <f>IFERROR(E24/$B69,0)</f>
        <v>0</v>
      </c>
      <c r="F69" s="72">
        <f>IFERROR(F24/$B69,0)</f>
        <v>150021613287.90469</v>
      </c>
      <c r="G69" s="70">
        <f t="shared" si="20"/>
        <v>150021613287.90469</v>
      </c>
      <c r="H69" s="70">
        <f t="shared" si="21"/>
        <v>150021613287.90469</v>
      </c>
    </row>
    <row r="70" spans="1:8">
      <c r="A70" s="65" t="s">
        <v>412</v>
      </c>
      <c r="B70" s="89">
        <v>0.99979000004200003</v>
      </c>
      <c r="C70" s="72">
        <f>IFERROR(C20/$B70,0)</f>
        <v>0</v>
      </c>
      <c r="D70" s="72">
        <f>IFERROR(D20/$B70,0)</f>
        <v>0</v>
      </c>
      <c r="E70" s="72">
        <f>IFERROR(E20/$B70,0)</f>
        <v>0</v>
      </c>
      <c r="F70" s="72">
        <f>IFERROR(F20/$B70,0)</f>
        <v>278239.14431909285</v>
      </c>
      <c r="G70" s="70">
        <f t="shared" si="20"/>
        <v>278239.14431909285</v>
      </c>
      <c r="H70" s="70">
        <f t="shared" si="21"/>
        <v>278239.14431909285</v>
      </c>
    </row>
    <row r="71" spans="1:8">
      <c r="A71" s="65" t="s">
        <v>413</v>
      </c>
      <c r="B71" s="89">
        <v>2.0999995799999999E-4</v>
      </c>
      <c r="C71" s="72">
        <f>IFERROR(C29/$B71,0)</f>
        <v>0</v>
      </c>
      <c r="D71" s="72">
        <f>IFERROR(D29/$B71,0)</f>
        <v>0</v>
      </c>
      <c r="E71" s="72">
        <f>IFERROR(E29/$B71,0)</f>
        <v>0</v>
      </c>
      <c r="F71" s="72">
        <f>IFERROR(F29/$B71,0)</f>
        <v>39769.311026521544</v>
      </c>
      <c r="G71" s="70">
        <f t="shared" si="20"/>
        <v>39769.311026521544</v>
      </c>
      <c r="H71" s="70">
        <f t="shared" si="21"/>
        <v>39769.311026521544</v>
      </c>
    </row>
    <row r="72" spans="1:8">
      <c r="A72" s="65" t="s">
        <v>414</v>
      </c>
      <c r="B72" s="89">
        <v>1</v>
      </c>
      <c r="C72" s="72">
        <f>IFERROR(C16/$B72,0)</f>
        <v>5.9218035562636162E-2</v>
      </c>
      <c r="D72" s="72">
        <f>IFERROR(D16/$B72,0)</f>
        <v>9.2772352149060459E-4</v>
      </c>
      <c r="E72" s="72">
        <f>IFERROR(E16/$B72,0)</f>
        <v>8.5729595271887643E-2</v>
      </c>
      <c r="F72" s="72">
        <f>IFERROR(F16/$B72,0)</f>
        <v>8870.2040033028225</v>
      </c>
      <c r="G72" s="70">
        <f t="shared" si="20"/>
        <v>3.5024499169569026E-2</v>
      </c>
      <c r="H72" s="70">
        <f t="shared" si="21"/>
        <v>9.134136748331314E-4</v>
      </c>
    </row>
    <row r="73" spans="1:8">
      <c r="A73" s="65" t="s">
        <v>415</v>
      </c>
      <c r="B73" s="89">
        <v>1</v>
      </c>
      <c r="C73" s="72">
        <f>IFERROR(C7/$B73,0)</f>
        <v>31.462406680606691</v>
      </c>
      <c r="D73" s="72">
        <f>IFERROR(D7/$B73,0)</f>
        <v>3.8316252291700999E-2</v>
      </c>
      <c r="E73" s="72">
        <f>IFERROR(E7/$B73,0)</f>
        <v>3.5407497225307019</v>
      </c>
      <c r="F73" s="72">
        <f>IFERROR(F7/$B73,0)</f>
        <v>602.63790578680334</v>
      </c>
      <c r="G73" s="70">
        <f t="shared" si="20"/>
        <v>3.1658654162343214</v>
      </c>
      <c r="H73" s="70">
        <f t="shared" si="21"/>
        <v>3.8267215790969984E-2</v>
      </c>
    </row>
    <row r="74" spans="1:8">
      <c r="A74" s="65" t="s">
        <v>416</v>
      </c>
      <c r="B74" s="91">
        <v>1.9000000000000001E-8</v>
      </c>
      <c r="C74" s="72">
        <f>IFERROR(C12/$B74,0)</f>
        <v>0</v>
      </c>
      <c r="D74" s="72">
        <f>IFERROR(D12/$B74,0)</f>
        <v>0</v>
      </c>
      <c r="E74" s="72">
        <f>IFERROR(E12/$B74,0)</f>
        <v>0</v>
      </c>
      <c r="F74" s="72">
        <f>IFERROR(F12/$B74,0)</f>
        <v>7539173576.3383541</v>
      </c>
      <c r="G74" s="70">
        <f t="shared" si="20"/>
        <v>7539173576.3383541</v>
      </c>
      <c r="H74" s="70">
        <f t="shared" si="21"/>
        <v>7539173576.3383541</v>
      </c>
    </row>
    <row r="75" spans="1:8">
      <c r="A75" s="65" t="s">
        <v>417</v>
      </c>
      <c r="B75" s="89">
        <v>1</v>
      </c>
      <c r="C75" s="72">
        <f>IFERROR(C18/$B75,0)</f>
        <v>3.4062605579830388E-2</v>
      </c>
      <c r="D75" s="72">
        <f>IFERROR(D18/$B75,0)</f>
        <v>1.1953360757667405E-3</v>
      </c>
      <c r="E75" s="72">
        <f>IFERROR(E18/$B75,0)</f>
        <v>0.11045928621570139</v>
      </c>
      <c r="F75" s="72">
        <f>IFERROR(F18/$B75,0)</f>
        <v>2368705.6118447762</v>
      </c>
      <c r="G75" s="70">
        <f t="shared" si="20"/>
        <v>2.6034333005856454E-2</v>
      </c>
      <c r="H75" s="70">
        <f t="shared" si="21"/>
        <v>1.1548110681574848E-3</v>
      </c>
    </row>
    <row r="76" spans="1:8">
      <c r="A76" s="65" t="s">
        <v>418</v>
      </c>
      <c r="B76" s="89">
        <v>1.339E-6</v>
      </c>
      <c r="C76" s="72">
        <f>IFERROR(C27/$B76,0)</f>
        <v>0</v>
      </c>
      <c r="D76" s="72">
        <f>IFERROR(D27/$B76,0)</f>
        <v>0</v>
      </c>
      <c r="E76" s="72">
        <f>IFERROR(E27/$B76,0)</f>
        <v>0</v>
      </c>
      <c r="F76" s="72">
        <f>IFERROR(F27/$B76,0)</f>
        <v>249342940.58218855</v>
      </c>
      <c r="G76" s="70">
        <f t="shared" si="20"/>
        <v>249342940.58218855</v>
      </c>
      <c r="H76" s="70">
        <f t="shared" si="21"/>
        <v>249342940.58218855</v>
      </c>
    </row>
  </sheetData>
  <sheetProtection algorithmName="SHA-512" hashValue="0bsQ9IA+pvx9gnH0ajg0COSc3Fzfz1/YfverYeMu2FDVal/YVywc/IyTMKqi0+oZ/taDrzNvQqkIYK1HQA1etQ==" saltValue="mbhcugMppi1yLtumh4qiZg==" spinCount="100000" sheet="1" objects="1" scenarios="1"/>
  <autoFilter ref="A1:H76" xr:uid="{00000000-0009-0000-0000-00000C000000}"/>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499984740745262"/>
  </sheetPr>
  <dimension ref="A1:H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5.73046875" style="4" bestFit="1" customWidth="1"/>
    <col min="4" max="4" width="18.59765625" style="4" bestFit="1" customWidth="1"/>
    <col min="5" max="5" width="18.3984375" style="4" bestFit="1" customWidth="1"/>
    <col min="6" max="6" width="15.86328125" style="4" bestFit="1" customWidth="1"/>
    <col min="7" max="7" width="17.265625" style="4" bestFit="1" customWidth="1"/>
    <col min="8" max="8" width="17.1328125" style="4" bestFit="1" customWidth="1"/>
    <col min="9" max="245" width="9.1328125" style="4"/>
    <col min="246" max="246" width="15.3984375" style="4" bestFit="1" customWidth="1"/>
    <col min="247" max="247" width="11.1328125" style="4" bestFit="1" customWidth="1"/>
    <col min="248" max="248" width="14.59765625" style="4" bestFit="1" customWidth="1"/>
    <col min="249" max="249" width="17.3984375" style="4" bestFit="1" customWidth="1"/>
    <col min="250" max="250" width="17.59765625" style="4" bestFit="1" customWidth="1"/>
    <col min="251" max="251" width="14.73046875" style="4" bestFit="1" customWidth="1"/>
    <col min="252" max="252" width="14.3984375" style="4" bestFit="1" customWidth="1"/>
    <col min="253" max="253" width="12.1328125" style="4" bestFit="1" customWidth="1"/>
    <col min="254" max="254" width="12.3984375" style="4" bestFit="1" customWidth="1"/>
    <col min="255" max="256" width="13.86328125" style="4" bestFit="1" customWidth="1"/>
    <col min="257" max="257" width="14.86328125" style="4" bestFit="1" customWidth="1"/>
    <col min="258" max="258" width="12.1328125" style="4" bestFit="1" customWidth="1"/>
    <col min="259" max="259" width="12.3984375" style="4" bestFit="1" customWidth="1"/>
    <col min="260" max="261" width="13.86328125" style="4" bestFit="1" customWidth="1"/>
    <col min="262" max="262" width="14.86328125" style="4" bestFit="1" customWidth="1"/>
    <col min="263" max="501" width="9.1328125" style="4"/>
    <col min="502" max="502" width="15.3984375" style="4" bestFit="1" customWidth="1"/>
    <col min="503" max="503" width="11.1328125" style="4" bestFit="1" customWidth="1"/>
    <col min="504" max="504" width="14.59765625" style="4" bestFit="1" customWidth="1"/>
    <col min="505" max="505" width="17.3984375" style="4" bestFit="1" customWidth="1"/>
    <col min="506" max="506" width="17.59765625" style="4" bestFit="1" customWidth="1"/>
    <col min="507" max="507" width="14.73046875" style="4" bestFit="1" customWidth="1"/>
    <col min="508" max="508" width="14.3984375" style="4" bestFit="1" customWidth="1"/>
    <col min="509" max="509" width="12.1328125" style="4" bestFit="1" customWidth="1"/>
    <col min="510" max="510" width="12.3984375" style="4" bestFit="1" customWidth="1"/>
    <col min="511" max="512" width="13.86328125" style="4" bestFit="1" customWidth="1"/>
    <col min="513" max="513" width="14.86328125" style="4" bestFit="1" customWidth="1"/>
    <col min="514" max="514" width="12.1328125" style="4" bestFit="1" customWidth="1"/>
    <col min="515" max="515" width="12.3984375" style="4" bestFit="1" customWidth="1"/>
    <col min="516" max="517" width="13.86328125" style="4" bestFit="1" customWidth="1"/>
    <col min="518" max="518" width="14.86328125" style="4" bestFit="1" customWidth="1"/>
    <col min="519" max="757" width="9.1328125" style="4"/>
    <col min="758" max="758" width="15.3984375" style="4" bestFit="1" customWidth="1"/>
    <col min="759" max="759" width="11.1328125" style="4" bestFit="1" customWidth="1"/>
    <col min="760" max="760" width="14.59765625" style="4" bestFit="1" customWidth="1"/>
    <col min="761" max="761" width="17.3984375" style="4" bestFit="1" customWidth="1"/>
    <col min="762" max="762" width="17.59765625" style="4" bestFit="1" customWidth="1"/>
    <col min="763" max="763" width="14.73046875" style="4" bestFit="1" customWidth="1"/>
    <col min="764" max="764" width="14.3984375" style="4" bestFit="1" customWidth="1"/>
    <col min="765" max="765" width="12.1328125" style="4" bestFit="1" customWidth="1"/>
    <col min="766" max="766" width="12.3984375" style="4" bestFit="1" customWidth="1"/>
    <col min="767" max="768" width="13.86328125" style="4" bestFit="1" customWidth="1"/>
    <col min="769" max="769" width="14.86328125" style="4" bestFit="1" customWidth="1"/>
    <col min="770" max="770" width="12.1328125" style="4" bestFit="1" customWidth="1"/>
    <col min="771" max="771" width="12.3984375" style="4" bestFit="1" customWidth="1"/>
    <col min="772" max="773" width="13.86328125" style="4" bestFit="1" customWidth="1"/>
    <col min="774" max="774" width="14.86328125" style="4" bestFit="1" customWidth="1"/>
    <col min="775" max="1013" width="9.1328125" style="4"/>
    <col min="1014" max="1014" width="15.3984375" style="4" bestFit="1" customWidth="1"/>
    <col min="1015" max="1015" width="11.1328125" style="4" bestFit="1" customWidth="1"/>
    <col min="1016" max="1016" width="14.59765625" style="4" bestFit="1" customWidth="1"/>
    <col min="1017" max="1017" width="17.3984375" style="4" bestFit="1" customWidth="1"/>
    <col min="1018" max="1018" width="17.59765625" style="4" bestFit="1" customWidth="1"/>
    <col min="1019" max="1019" width="14.73046875" style="4" bestFit="1" customWidth="1"/>
    <col min="1020" max="1020" width="14.3984375" style="4" bestFit="1" customWidth="1"/>
    <col min="1021" max="1021" width="12.1328125" style="4" bestFit="1" customWidth="1"/>
    <col min="1022" max="1022" width="12.3984375" style="4" bestFit="1" customWidth="1"/>
    <col min="1023" max="1024" width="13.86328125" style="4" bestFit="1" customWidth="1"/>
    <col min="1025" max="1025" width="14.86328125" style="4" bestFit="1" customWidth="1"/>
    <col min="1026" max="1026" width="12.1328125" style="4" bestFit="1" customWidth="1"/>
    <col min="1027" max="1027" width="12.3984375" style="4" bestFit="1" customWidth="1"/>
    <col min="1028" max="1029" width="13.86328125" style="4" bestFit="1" customWidth="1"/>
    <col min="1030" max="1030" width="14.86328125" style="4" bestFit="1" customWidth="1"/>
    <col min="1031" max="1269" width="9.1328125" style="4"/>
    <col min="1270" max="1270" width="15.3984375" style="4" bestFit="1" customWidth="1"/>
    <col min="1271" max="1271" width="11.1328125" style="4" bestFit="1" customWidth="1"/>
    <col min="1272" max="1272" width="14.59765625" style="4" bestFit="1" customWidth="1"/>
    <col min="1273" max="1273" width="17.3984375" style="4" bestFit="1" customWidth="1"/>
    <col min="1274" max="1274" width="17.59765625" style="4" bestFit="1" customWidth="1"/>
    <col min="1275" max="1275" width="14.73046875" style="4" bestFit="1" customWidth="1"/>
    <col min="1276" max="1276" width="14.3984375" style="4" bestFit="1" customWidth="1"/>
    <col min="1277" max="1277" width="12.1328125" style="4" bestFit="1" customWidth="1"/>
    <col min="1278" max="1278" width="12.3984375" style="4" bestFit="1" customWidth="1"/>
    <col min="1279" max="1280" width="13.86328125" style="4" bestFit="1" customWidth="1"/>
    <col min="1281" max="1281" width="14.86328125" style="4" bestFit="1" customWidth="1"/>
    <col min="1282" max="1282" width="12.1328125" style="4" bestFit="1" customWidth="1"/>
    <col min="1283" max="1283" width="12.3984375" style="4" bestFit="1" customWidth="1"/>
    <col min="1284" max="1285" width="13.86328125" style="4" bestFit="1" customWidth="1"/>
    <col min="1286" max="1286" width="14.86328125" style="4" bestFit="1" customWidth="1"/>
    <col min="1287" max="1525" width="9.1328125" style="4"/>
    <col min="1526" max="1526" width="15.3984375" style="4" bestFit="1" customWidth="1"/>
    <col min="1527" max="1527" width="11.1328125" style="4" bestFit="1" customWidth="1"/>
    <col min="1528" max="1528" width="14.59765625" style="4" bestFit="1" customWidth="1"/>
    <col min="1529" max="1529" width="17.3984375" style="4" bestFit="1" customWidth="1"/>
    <col min="1530" max="1530" width="17.59765625" style="4" bestFit="1" customWidth="1"/>
    <col min="1531" max="1531" width="14.73046875" style="4" bestFit="1" customWidth="1"/>
    <col min="1532" max="1532" width="14.3984375" style="4" bestFit="1" customWidth="1"/>
    <col min="1533" max="1533" width="12.1328125" style="4" bestFit="1" customWidth="1"/>
    <col min="1534" max="1534" width="12.3984375" style="4" bestFit="1" customWidth="1"/>
    <col min="1535" max="1536" width="13.86328125" style="4" bestFit="1" customWidth="1"/>
    <col min="1537" max="1537" width="14.86328125" style="4" bestFit="1" customWidth="1"/>
    <col min="1538" max="1538" width="12.1328125" style="4" bestFit="1" customWidth="1"/>
    <col min="1539" max="1539" width="12.3984375" style="4" bestFit="1" customWidth="1"/>
    <col min="1540" max="1541" width="13.86328125" style="4" bestFit="1" customWidth="1"/>
    <col min="1542" max="1542" width="14.86328125" style="4" bestFit="1" customWidth="1"/>
    <col min="1543" max="1781" width="9.1328125" style="4"/>
    <col min="1782" max="1782" width="15.3984375" style="4" bestFit="1" customWidth="1"/>
    <col min="1783" max="1783" width="11.1328125" style="4" bestFit="1" customWidth="1"/>
    <col min="1784" max="1784" width="14.59765625" style="4" bestFit="1" customWidth="1"/>
    <col min="1785" max="1785" width="17.3984375" style="4" bestFit="1" customWidth="1"/>
    <col min="1786" max="1786" width="17.59765625" style="4" bestFit="1" customWidth="1"/>
    <col min="1787" max="1787" width="14.73046875" style="4" bestFit="1" customWidth="1"/>
    <col min="1788" max="1788" width="14.3984375" style="4" bestFit="1" customWidth="1"/>
    <col min="1789" max="1789" width="12.1328125" style="4" bestFit="1" customWidth="1"/>
    <col min="1790" max="1790" width="12.3984375" style="4" bestFit="1" customWidth="1"/>
    <col min="1791" max="1792" width="13.86328125" style="4" bestFit="1" customWidth="1"/>
    <col min="1793" max="1793" width="14.86328125" style="4" bestFit="1" customWidth="1"/>
    <col min="1794" max="1794" width="12.1328125" style="4" bestFit="1" customWidth="1"/>
    <col min="1795" max="1795" width="12.3984375" style="4" bestFit="1" customWidth="1"/>
    <col min="1796" max="1797" width="13.86328125" style="4" bestFit="1" customWidth="1"/>
    <col min="1798" max="1798" width="14.86328125" style="4" bestFit="1" customWidth="1"/>
    <col min="1799" max="2037" width="9.1328125" style="4"/>
    <col min="2038" max="2038" width="15.3984375" style="4" bestFit="1" customWidth="1"/>
    <col min="2039" max="2039" width="11.1328125" style="4" bestFit="1" customWidth="1"/>
    <col min="2040" max="2040" width="14.59765625" style="4" bestFit="1" customWidth="1"/>
    <col min="2041" max="2041" width="17.3984375" style="4" bestFit="1" customWidth="1"/>
    <col min="2042" max="2042" width="17.59765625" style="4" bestFit="1" customWidth="1"/>
    <col min="2043" max="2043" width="14.73046875" style="4" bestFit="1" customWidth="1"/>
    <col min="2044" max="2044" width="14.3984375" style="4" bestFit="1" customWidth="1"/>
    <col min="2045" max="2045" width="12.1328125" style="4" bestFit="1" customWidth="1"/>
    <col min="2046" max="2046" width="12.3984375" style="4" bestFit="1" customWidth="1"/>
    <col min="2047" max="2048" width="13.86328125" style="4" bestFit="1" customWidth="1"/>
    <col min="2049" max="2049" width="14.86328125" style="4" bestFit="1" customWidth="1"/>
    <col min="2050" max="2050" width="12.1328125" style="4" bestFit="1" customWidth="1"/>
    <col min="2051" max="2051" width="12.3984375" style="4" bestFit="1" customWidth="1"/>
    <col min="2052" max="2053" width="13.86328125" style="4" bestFit="1" customWidth="1"/>
    <col min="2054" max="2054" width="14.86328125" style="4" bestFit="1" customWidth="1"/>
    <col min="2055" max="2293" width="9.1328125" style="4"/>
    <col min="2294" max="2294" width="15.3984375" style="4" bestFit="1" customWidth="1"/>
    <col min="2295" max="2295" width="11.1328125" style="4" bestFit="1" customWidth="1"/>
    <col min="2296" max="2296" width="14.59765625" style="4" bestFit="1" customWidth="1"/>
    <col min="2297" max="2297" width="17.3984375" style="4" bestFit="1" customWidth="1"/>
    <col min="2298" max="2298" width="17.59765625" style="4" bestFit="1" customWidth="1"/>
    <col min="2299" max="2299" width="14.73046875" style="4" bestFit="1" customWidth="1"/>
    <col min="2300" max="2300" width="14.3984375" style="4" bestFit="1" customWidth="1"/>
    <col min="2301" max="2301" width="12.1328125" style="4" bestFit="1" customWidth="1"/>
    <col min="2302" max="2302" width="12.3984375" style="4" bestFit="1" customWidth="1"/>
    <col min="2303" max="2304" width="13.86328125" style="4" bestFit="1" customWidth="1"/>
    <col min="2305" max="2305" width="14.86328125" style="4" bestFit="1" customWidth="1"/>
    <col min="2306" max="2306" width="12.1328125" style="4" bestFit="1" customWidth="1"/>
    <col min="2307" max="2307" width="12.3984375" style="4" bestFit="1" customWidth="1"/>
    <col min="2308" max="2309" width="13.86328125" style="4" bestFit="1" customWidth="1"/>
    <col min="2310" max="2310" width="14.86328125" style="4" bestFit="1" customWidth="1"/>
    <col min="2311" max="2549" width="9.1328125" style="4"/>
    <col min="2550" max="2550" width="15.3984375" style="4" bestFit="1" customWidth="1"/>
    <col min="2551" max="2551" width="11.1328125" style="4" bestFit="1" customWidth="1"/>
    <col min="2552" max="2552" width="14.59765625" style="4" bestFit="1" customWidth="1"/>
    <col min="2553" max="2553" width="17.3984375" style="4" bestFit="1" customWidth="1"/>
    <col min="2554" max="2554" width="17.59765625" style="4" bestFit="1" customWidth="1"/>
    <col min="2555" max="2555" width="14.73046875" style="4" bestFit="1" customWidth="1"/>
    <col min="2556" max="2556" width="14.3984375" style="4" bestFit="1" customWidth="1"/>
    <col min="2557" max="2557" width="12.1328125" style="4" bestFit="1" customWidth="1"/>
    <col min="2558" max="2558" width="12.3984375" style="4" bestFit="1" customWidth="1"/>
    <col min="2559" max="2560" width="13.86328125" style="4" bestFit="1" customWidth="1"/>
    <col min="2561" max="2561" width="14.86328125" style="4" bestFit="1" customWidth="1"/>
    <col min="2562" max="2562" width="12.1328125" style="4" bestFit="1" customWidth="1"/>
    <col min="2563" max="2563" width="12.3984375" style="4" bestFit="1" customWidth="1"/>
    <col min="2564" max="2565" width="13.86328125" style="4" bestFit="1" customWidth="1"/>
    <col min="2566" max="2566" width="14.86328125" style="4" bestFit="1" customWidth="1"/>
    <col min="2567" max="2805" width="9.1328125" style="4"/>
    <col min="2806" max="2806" width="15.3984375" style="4" bestFit="1" customWidth="1"/>
    <col min="2807" max="2807" width="11.1328125" style="4" bestFit="1" customWidth="1"/>
    <col min="2808" max="2808" width="14.59765625" style="4" bestFit="1" customWidth="1"/>
    <col min="2809" max="2809" width="17.3984375" style="4" bestFit="1" customWidth="1"/>
    <col min="2810" max="2810" width="17.59765625" style="4" bestFit="1" customWidth="1"/>
    <col min="2811" max="2811" width="14.73046875" style="4" bestFit="1" customWidth="1"/>
    <col min="2812" max="2812" width="14.3984375" style="4" bestFit="1" customWidth="1"/>
    <col min="2813" max="2813" width="12.1328125" style="4" bestFit="1" customWidth="1"/>
    <col min="2814" max="2814" width="12.3984375" style="4" bestFit="1" customWidth="1"/>
    <col min="2815" max="2816" width="13.86328125" style="4" bestFit="1" customWidth="1"/>
    <col min="2817" max="2817" width="14.86328125" style="4" bestFit="1" customWidth="1"/>
    <col min="2818" max="2818" width="12.1328125" style="4" bestFit="1" customWidth="1"/>
    <col min="2819" max="2819" width="12.3984375" style="4" bestFit="1" customWidth="1"/>
    <col min="2820" max="2821" width="13.86328125" style="4" bestFit="1" customWidth="1"/>
    <col min="2822" max="2822" width="14.86328125" style="4" bestFit="1" customWidth="1"/>
    <col min="2823" max="3061" width="9.1328125" style="4"/>
    <col min="3062" max="3062" width="15.3984375" style="4" bestFit="1" customWidth="1"/>
    <col min="3063" max="3063" width="11.1328125" style="4" bestFit="1" customWidth="1"/>
    <col min="3064" max="3064" width="14.59765625" style="4" bestFit="1" customWidth="1"/>
    <col min="3065" max="3065" width="17.3984375" style="4" bestFit="1" customWidth="1"/>
    <col min="3066" max="3066" width="17.59765625" style="4" bestFit="1" customWidth="1"/>
    <col min="3067" max="3067" width="14.73046875" style="4" bestFit="1" customWidth="1"/>
    <col min="3068" max="3068" width="14.3984375" style="4" bestFit="1" customWidth="1"/>
    <col min="3069" max="3069" width="12.1328125" style="4" bestFit="1" customWidth="1"/>
    <col min="3070" max="3070" width="12.3984375" style="4" bestFit="1" customWidth="1"/>
    <col min="3071" max="3072" width="13.86328125" style="4" bestFit="1" customWidth="1"/>
    <col min="3073" max="3073" width="14.86328125" style="4" bestFit="1" customWidth="1"/>
    <col min="3074" max="3074" width="12.1328125" style="4" bestFit="1" customWidth="1"/>
    <col min="3075" max="3075" width="12.3984375" style="4" bestFit="1" customWidth="1"/>
    <col min="3076" max="3077" width="13.86328125" style="4" bestFit="1" customWidth="1"/>
    <col min="3078" max="3078" width="14.86328125" style="4" bestFit="1" customWidth="1"/>
    <col min="3079" max="3317" width="9.1328125" style="4"/>
    <col min="3318" max="3318" width="15.3984375" style="4" bestFit="1" customWidth="1"/>
    <col min="3319" max="3319" width="11.1328125" style="4" bestFit="1" customWidth="1"/>
    <col min="3320" max="3320" width="14.59765625" style="4" bestFit="1" customWidth="1"/>
    <col min="3321" max="3321" width="17.3984375" style="4" bestFit="1" customWidth="1"/>
    <col min="3322" max="3322" width="17.59765625" style="4" bestFit="1" customWidth="1"/>
    <col min="3323" max="3323" width="14.73046875" style="4" bestFit="1" customWidth="1"/>
    <col min="3324" max="3324" width="14.3984375" style="4" bestFit="1" customWidth="1"/>
    <col min="3325" max="3325" width="12.1328125" style="4" bestFit="1" customWidth="1"/>
    <col min="3326" max="3326" width="12.3984375" style="4" bestFit="1" customWidth="1"/>
    <col min="3327" max="3328" width="13.86328125" style="4" bestFit="1" customWidth="1"/>
    <col min="3329" max="3329" width="14.86328125" style="4" bestFit="1" customWidth="1"/>
    <col min="3330" max="3330" width="12.1328125" style="4" bestFit="1" customWidth="1"/>
    <col min="3331" max="3331" width="12.3984375" style="4" bestFit="1" customWidth="1"/>
    <col min="3332" max="3333" width="13.86328125" style="4" bestFit="1" customWidth="1"/>
    <col min="3334" max="3334" width="14.86328125" style="4" bestFit="1" customWidth="1"/>
    <col min="3335" max="3573" width="9.1328125" style="4"/>
    <col min="3574" max="3574" width="15.3984375" style="4" bestFit="1" customWidth="1"/>
    <col min="3575" max="3575" width="11.1328125" style="4" bestFit="1" customWidth="1"/>
    <col min="3576" max="3576" width="14.59765625" style="4" bestFit="1" customWidth="1"/>
    <col min="3577" max="3577" width="17.3984375" style="4" bestFit="1" customWidth="1"/>
    <col min="3578" max="3578" width="17.59765625" style="4" bestFit="1" customWidth="1"/>
    <col min="3579" max="3579" width="14.73046875" style="4" bestFit="1" customWidth="1"/>
    <col min="3580" max="3580" width="14.3984375" style="4" bestFit="1" customWidth="1"/>
    <col min="3581" max="3581" width="12.1328125" style="4" bestFit="1" customWidth="1"/>
    <col min="3582" max="3582" width="12.3984375" style="4" bestFit="1" customWidth="1"/>
    <col min="3583" max="3584" width="13.86328125" style="4" bestFit="1" customWidth="1"/>
    <col min="3585" max="3585" width="14.86328125" style="4" bestFit="1" customWidth="1"/>
    <col min="3586" max="3586" width="12.1328125" style="4" bestFit="1" customWidth="1"/>
    <col min="3587" max="3587" width="12.3984375" style="4" bestFit="1" customWidth="1"/>
    <col min="3588" max="3589" width="13.86328125" style="4" bestFit="1" customWidth="1"/>
    <col min="3590" max="3590" width="14.86328125" style="4" bestFit="1" customWidth="1"/>
    <col min="3591" max="3829" width="9.1328125" style="4"/>
    <col min="3830" max="3830" width="15.3984375" style="4" bestFit="1" customWidth="1"/>
    <col min="3831" max="3831" width="11.1328125" style="4" bestFit="1" customWidth="1"/>
    <col min="3832" max="3832" width="14.59765625" style="4" bestFit="1" customWidth="1"/>
    <col min="3833" max="3833" width="17.3984375" style="4" bestFit="1" customWidth="1"/>
    <col min="3834" max="3834" width="17.59765625" style="4" bestFit="1" customWidth="1"/>
    <col min="3835" max="3835" width="14.73046875" style="4" bestFit="1" customWidth="1"/>
    <col min="3836" max="3836" width="14.3984375" style="4" bestFit="1" customWidth="1"/>
    <col min="3837" max="3837" width="12.1328125" style="4" bestFit="1" customWidth="1"/>
    <col min="3838" max="3838" width="12.3984375" style="4" bestFit="1" customWidth="1"/>
    <col min="3839" max="3840" width="13.86328125" style="4" bestFit="1" customWidth="1"/>
    <col min="3841" max="3841" width="14.86328125" style="4" bestFit="1" customWidth="1"/>
    <col min="3842" max="3842" width="12.1328125" style="4" bestFit="1" customWidth="1"/>
    <col min="3843" max="3843" width="12.3984375" style="4" bestFit="1" customWidth="1"/>
    <col min="3844" max="3845" width="13.86328125" style="4" bestFit="1" customWidth="1"/>
    <col min="3846" max="3846" width="14.86328125" style="4" bestFit="1" customWidth="1"/>
    <col min="3847" max="4085" width="9.1328125" style="4"/>
    <col min="4086" max="4086" width="15.3984375" style="4" bestFit="1" customWidth="1"/>
    <col min="4087" max="4087" width="11.1328125" style="4" bestFit="1" customWidth="1"/>
    <col min="4088" max="4088" width="14.59765625" style="4" bestFit="1" customWidth="1"/>
    <col min="4089" max="4089" width="17.3984375" style="4" bestFit="1" customWidth="1"/>
    <col min="4090" max="4090" width="17.59765625" style="4" bestFit="1" customWidth="1"/>
    <col min="4091" max="4091" width="14.73046875" style="4" bestFit="1" customWidth="1"/>
    <col min="4092" max="4092" width="14.3984375" style="4" bestFit="1" customWidth="1"/>
    <col min="4093" max="4093" width="12.1328125" style="4" bestFit="1" customWidth="1"/>
    <col min="4094" max="4094" width="12.3984375" style="4" bestFit="1" customWidth="1"/>
    <col min="4095" max="4096" width="13.86328125" style="4" bestFit="1" customWidth="1"/>
    <col min="4097" max="4097" width="14.86328125" style="4" bestFit="1" customWidth="1"/>
    <col min="4098" max="4098" width="12.1328125" style="4" bestFit="1" customWidth="1"/>
    <col min="4099" max="4099" width="12.3984375" style="4" bestFit="1" customWidth="1"/>
    <col min="4100" max="4101" width="13.86328125" style="4" bestFit="1" customWidth="1"/>
    <col min="4102" max="4102" width="14.86328125" style="4" bestFit="1" customWidth="1"/>
    <col min="4103" max="4341" width="9.1328125" style="4"/>
    <col min="4342" max="4342" width="15.3984375" style="4" bestFit="1" customWidth="1"/>
    <col min="4343" max="4343" width="11.1328125" style="4" bestFit="1" customWidth="1"/>
    <col min="4344" max="4344" width="14.59765625" style="4" bestFit="1" customWidth="1"/>
    <col min="4345" max="4345" width="17.3984375" style="4" bestFit="1" customWidth="1"/>
    <col min="4346" max="4346" width="17.59765625" style="4" bestFit="1" customWidth="1"/>
    <col min="4347" max="4347" width="14.73046875" style="4" bestFit="1" customWidth="1"/>
    <col min="4348" max="4348" width="14.3984375" style="4" bestFit="1" customWidth="1"/>
    <col min="4349" max="4349" width="12.1328125" style="4" bestFit="1" customWidth="1"/>
    <col min="4350" max="4350" width="12.3984375" style="4" bestFit="1" customWidth="1"/>
    <col min="4351" max="4352" width="13.86328125" style="4" bestFit="1" customWidth="1"/>
    <col min="4353" max="4353" width="14.86328125" style="4" bestFit="1" customWidth="1"/>
    <col min="4354" max="4354" width="12.1328125" style="4" bestFit="1" customWidth="1"/>
    <col min="4355" max="4355" width="12.3984375" style="4" bestFit="1" customWidth="1"/>
    <col min="4356" max="4357" width="13.86328125" style="4" bestFit="1" customWidth="1"/>
    <col min="4358" max="4358" width="14.86328125" style="4" bestFit="1" customWidth="1"/>
    <col min="4359" max="4597" width="9.1328125" style="4"/>
    <col min="4598" max="4598" width="15.3984375" style="4" bestFit="1" customWidth="1"/>
    <col min="4599" max="4599" width="11.1328125" style="4" bestFit="1" customWidth="1"/>
    <col min="4600" max="4600" width="14.59765625" style="4" bestFit="1" customWidth="1"/>
    <col min="4601" max="4601" width="17.3984375" style="4" bestFit="1" customWidth="1"/>
    <col min="4602" max="4602" width="17.59765625" style="4" bestFit="1" customWidth="1"/>
    <col min="4603" max="4603" width="14.73046875" style="4" bestFit="1" customWidth="1"/>
    <col min="4604" max="4604" width="14.3984375" style="4" bestFit="1" customWidth="1"/>
    <col min="4605" max="4605" width="12.1328125" style="4" bestFit="1" customWidth="1"/>
    <col min="4606" max="4606" width="12.3984375" style="4" bestFit="1" customWidth="1"/>
    <col min="4607" max="4608" width="13.86328125" style="4" bestFit="1" customWidth="1"/>
    <col min="4609" max="4609" width="14.86328125" style="4" bestFit="1" customWidth="1"/>
    <col min="4610" max="4610" width="12.1328125" style="4" bestFit="1" customWidth="1"/>
    <col min="4611" max="4611" width="12.3984375" style="4" bestFit="1" customWidth="1"/>
    <col min="4612" max="4613" width="13.86328125" style="4" bestFit="1" customWidth="1"/>
    <col min="4614" max="4614" width="14.86328125" style="4" bestFit="1" customWidth="1"/>
    <col min="4615" max="4853" width="9.1328125" style="4"/>
    <col min="4854" max="4854" width="15.3984375" style="4" bestFit="1" customWidth="1"/>
    <col min="4855" max="4855" width="11.1328125" style="4" bestFit="1" customWidth="1"/>
    <col min="4856" max="4856" width="14.59765625" style="4" bestFit="1" customWidth="1"/>
    <col min="4857" max="4857" width="17.3984375" style="4" bestFit="1" customWidth="1"/>
    <col min="4858" max="4858" width="17.59765625" style="4" bestFit="1" customWidth="1"/>
    <col min="4859" max="4859" width="14.73046875" style="4" bestFit="1" customWidth="1"/>
    <col min="4860" max="4860" width="14.3984375" style="4" bestFit="1" customWidth="1"/>
    <col min="4861" max="4861" width="12.1328125" style="4" bestFit="1" customWidth="1"/>
    <col min="4862" max="4862" width="12.3984375" style="4" bestFit="1" customWidth="1"/>
    <col min="4863" max="4864" width="13.86328125" style="4" bestFit="1" customWidth="1"/>
    <col min="4865" max="4865" width="14.86328125" style="4" bestFit="1" customWidth="1"/>
    <col min="4866" max="4866" width="12.1328125" style="4" bestFit="1" customWidth="1"/>
    <col min="4867" max="4867" width="12.3984375" style="4" bestFit="1" customWidth="1"/>
    <col min="4868" max="4869" width="13.86328125" style="4" bestFit="1" customWidth="1"/>
    <col min="4870" max="4870" width="14.86328125" style="4" bestFit="1" customWidth="1"/>
    <col min="4871" max="5109" width="9.1328125" style="4"/>
    <col min="5110" max="5110" width="15.3984375" style="4" bestFit="1" customWidth="1"/>
    <col min="5111" max="5111" width="11.1328125" style="4" bestFit="1" customWidth="1"/>
    <col min="5112" max="5112" width="14.59765625" style="4" bestFit="1" customWidth="1"/>
    <col min="5113" max="5113" width="17.3984375" style="4" bestFit="1" customWidth="1"/>
    <col min="5114" max="5114" width="17.59765625" style="4" bestFit="1" customWidth="1"/>
    <col min="5115" max="5115" width="14.73046875" style="4" bestFit="1" customWidth="1"/>
    <col min="5116" max="5116" width="14.3984375" style="4" bestFit="1" customWidth="1"/>
    <col min="5117" max="5117" width="12.1328125" style="4" bestFit="1" customWidth="1"/>
    <col min="5118" max="5118" width="12.3984375" style="4" bestFit="1" customWidth="1"/>
    <col min="5119" max="5120" width="13.86328125" style="4" bestFit="1" customWidth="1"/>
    <col min="5121" max="5121" width="14.86328125" style="4" bestFit="1" customWidth="1"/>
    <col min="5122" max="5122" width="12.1328125" style="4" bestFit="1" customWidth="1"/>
    <col min="5123" max="5123" width="12.3984375" style="4" bestFit="1" customWidth="1"/>
    <col min="5124" max="5125" width="13.86328125" style="4" bestFit="1" customWidth="1"/>
    <col min="5126" max="5126" width="14.86328125" style="4" bestFit="1" customWidth="1"/>
    <col min="5127" max="5365" width="9.1328125" style="4"/>
    <col min="5366" max="5366" width="15.3984375" style="4" bestFit="1" customWidth="1"/>
    <col min="5367" max="5367" width="11.1328125" style="4" bestFit="1" customWidth="1"/>
    <col min="5368" max="5368" width="14.59765625" style="4" bestFit="1" customWidth="1"/>
    <col min="5369" max="5369" width="17.3984375" style="4" bestFit="1" customWidth="1"/>
    <col min="5370" max="5370" width="17.59765625" style="4" bestFit="1" customWidth="1"/>
    <col min="5371" max="5371" width="14.73046875" style="4" bestFit="1" customWidth="1"/>
    <col min="5372" max="5372" width="14.3984375" style="4" bestFit="1" customWidth="1"/>
    <col min="5373" max="5373" width="12.1328125" style="4" bestFit="1" customWidth="1"/>
    <col min="5374" max="5374" width="12.3984375" style="4" bestFit="1" customWidth="1"/>
    <col min="5375" max="5376" width="13.86328125" style="4" bestFit="1" customWidth="1"/>
    <col min="5377" max="5377" width="14.86328125" style="4" bestFit="1" customWidth="1"/>
    <col min="5378" max="5378" width="12.1328125" style="4" bestFit="1" customWidth="1"/>
    <col min="5379" max="5379" width="12.3984375" style="4" bestFit="1" customWidth="1"/>
    <col min="5380" max="5381" width="13.86328125" style="4" bestFit="1" customWidth="1"/>
    <col min="5382" max="5382" width="14.86328125" style="4" bestFit="1" customWidth="1"/>
    <col min="5383" max="5621" width="9.1328125" style="4"/>
    <col min="5622" max="5622" width="15.3984375" style="4" bestFit="1" customWidth="1"/>
    <col min="5623" max="5623" width="11.1328125" style="4" bestFit="1" customWidth="1"/>
    <col min="5624" max="5624" width="14.59765625" style="4" bestFit="1" customWidth="1"/>
    <col min="5625" max="5625" width="17.3984375" style="4" bestFit="1" customWidth="1"/>
    <col min="5626" max="5626" width="17.59765625" style="4" bestFit="1" customWidth="1"/>
    <col min="5627" max="5627" width="14.73046875" style="4" bestFit="1" customWidth="1"/>
    <col min="5628" max="5628" width="14.3984375" style="4" bestFit="1" customWidth="1"/>
    <col min="5629" max="5629" width="12.1328125" style="4" bestFit="1" customWidth="1"/>
    <col min="5630" max="5630" width="12.3984375" style="4" bestFit="1" customWidth="1"/>
    <col min="5631" max="5632" width="13.86328125" style="4" bestFit="1" customWidth="1"/>
    <col min="5633" max="5633" width="14.86328125" style="4" bestFit="1" customWidth="1"/>
    <col min="5634" max="5634" width="12.1328125" style="4" bestFit="1" customWidth="1"/>
    <col min="5635" max="5635" width="12.3984375" style="4" bestFit="1" customWidth="1"/>
    <col min="5636" max="5637" width="13.86328125" style="4" bestFit="1" customWidth="1"/>
    <col min="5638" max="5638" width="14.86328125" style="4" bestFit="1" customWidth="1"/>
    <col min="5639" max="5877" width="9.1328125" style="4"/>
    <col min="5878" max="5878" width="15.3984375" style="4" bestFit="1" customWidth="1"/>
    <col min="5879" max="5879" width="11.1328125" style="4" bestFit="1" customWidth="1"/>
    <col min="5880" max="5880" width="14.59765625" style="4" bestFit="1" customWidth="1"/>
    <col min="5881" max="5881" width="17.3984375" style="4" bestFit="1" customWidth="1"/>
    <col min="5882" max="5882" width="17.59765625" style="4" bestFit="1" customWidth="1"/>
    <col min="5883" max="5883" width="14.73046875" style="4" bestFit="1" customWidth="1"/>
    <col min="5884" max="5884" width="14.3984375" style="4" bestFit="1" customWidth="1"/>
    <col min="5885" max="5885" width="12.1328125" style="4" bestFit="1" customWidth="1"/>
    <col min="5886" max="5886" width="12.3984375" style="4" bestFit="1" customWidth="1"/>
    <col min="5887" max="5888" width="13.86328125" style="4" bestFit="1" customWidth="1"/>
    <col min="5889" max="5889" width="14.86328125" style="4" bestFit="1" customWidth="1"/>
    <col min="5890" max="5890" width="12.1328125" style="4" bestFit="1" customWidth="1"/>
    <col min="5891" max="5891" width="12.3984375" style="4" bestFit="1" customWidth="1"/>
    <col min="5892" max="5893" width="13.86328125" style="4" bestFit="1" customWidth="1"/>
    <col min="5894" max="5894" width="14.86328125" style="4" bestFit="1" customWidth="1"/>
    <col min="5895" max="6133" width="9.1328125" style="4"/>
    <col min="6134" max="6134" width="15.3984375" style="4" bestFit="1" customWidth="1"/>
    <col min="6135" max="6135" width="11.1328125" style="4" bestFit="1" customWidth="1"/>
    <col min="6136" max="6136" width="14.59765625" style="4" bestFit="1" customWidth="1"/>
    <col min="6137" max="6137" width="17.3984375" style="4" bestFit="1" customWidth="1"/>
    <col min="6138" max="6138" width="17.59765625" style="4" bestFit="1" customWidth="1"/>
    <col min="6139" max="6139" width="14.73046875" style="4" bestFit="1" customWidth="1"/>
    <col min="6140" max="6140" width="14.3984375" style="4" bestFit="1" customWidth="1"/>
    <col min="6141" max="6141" width="12.1328125" style="4" bestFit="1" customWidth="1"/>
    <col min="6142" max="6142" width="12.3984375" style="4" bestFit="1" customWidth="1"/>
    <col min="6143" max="6144" width="13.86328125" style="4" bestFit="1" customWidth="1"/>
    <col min="6145" max="6145" width="14.86328125" style="4" bestFit="1" customWidth="1"/>
    <col min="6146" max="6146" width="12.1328125" style="4" bestFit="1" customWidth="1"/>
    <col min="6147" max="6147" width="12.3984375" style="4" bestFit="1" customWidth="1"/>
    <col min="6148" max="6149" width="13.86328125" style="4" bestFit="1" customWidth="1"/>
    <col min="6150" max="6150" width="14.86328125" style="4" bestFit="1" customWidth="1"/>
    <col min="6151" max="6389" width="9.1328125" style="4"/>
    <col min="6390" max="6390" width="15.3984375" style="4" bestFit="1" customWidth="1"/>
    <col min="6391" max="6391" width="11.1328125" style="4" bestFit="1" customWidth="1"/>
    <col min="6392" max="6392" width="14.59765625" style="4" bestFit="1" customWidth="1"/>
    <col min="6393" max="6393" width="17.3984375" style="4" bestFit="1" customWidth="1"/>
    <col min="6394" max="6394" width="17.59765625" style="4" bestFit="1" customWidth="1"/>
    <col min="6395" max="6395" width="14.73046875" style="4" bestFit="1" customWidth="1"/>
    <col min="6396" max="6396" width="14.3984375" style="4" bestFit="1" customWidth="1"/>
    <col min="6397" max="6397" width="12.1328125" style="4" bestFit="1" customWidth="1"/>
    <col min="6398" max="6398" width="12.3984375" style="4" bestFit="1" customWidth="1"/>
    <col min="6399" max="6400" width="13.86328125" style="4" bestFit="1" customWidth="1"/>
    <col min="6401" max="6401" width="14.86328125" style="4" bestFit="1" customWidth="1"/>
    <col min="6402" max="6402" width="12.1328125" style="4" bestFit="1" customWidth="1"/>
    <col min="6403" max="6403" width="12.3984375" style="4" bestFit="1" customWidth="1"/>
    <col min="6404" max="6405" width="13.86328125" style="4" bestFit="1" customWidth="1"/>
    <col min="6406" max="6406" width="14.86328125" style="4" bestFit="1" customWidth="1"/>
    <col min="6407" max="6645" width="9.1328125" style="4"/>
    <col min="6646" max="6646" width="15.3984375" style="4" bestFit="1" customWidth="1"/>
    <col min="6647" max="6647" width="11.1328125" style="4" bestFit="1" customWidth="1"/>
    <col min="6648" max="6648" width="14.59765625" style="4" bestFit="1" customWidth="1"/>
    <col min="6649" max="6649" width="17.3984375" style="4" bestFit="1" customWidth="1"/>
    <col min="6650" max="6650" width="17.59765625" style="4" bestFit="1" customWidth="1"/>
    <col min="6651" max="6651" width="14.73046875" style="4" bestFit="1" customWidth="1"/>
    <col min="6652" max="6652" width="14.3984375" style="4" bestFit="1" customWidth="1"/>
    <col min="6653" max="6653" width="12.1328125" style="4" bestFit="1" customWidth="1"/>
    <col min="6654" max="6654" width="12.3984375" style="4" bestFit="1" customWidth="1"/>
    <col min="6655" max="6656" width="13.86328125" style="4" bestFit="1" customWidth="1"/>
    <col min="6657" max="6657" width="14.86328125" style="4" bestFit="1" customWidth="1"/>
    <col min="6658" max="6658" width="12.1328125" style="4" bestFit="1" customWidth="1"/>
    <col min="6659" max="6659" width="12.3984375" style="4" bestFit="1" customWidth="1"/>
    <col min="6660" max="6661" width="13.86328125" style="4" bestFit="1" customWidth="1"/>
    <col min="6662" max="6662" width="14.86328125" style="4" bestFit="1" customWidth="1"/>
    <col min="6663" max="6901" width="9.1328125" style="4"/>
    <col min="6902" max="6902" width="15.3984375" style="4" bestFit="1" customWidth="1"/>
    <col min="6903" max="6903" width="11.1328125" style="4" bestFit="1" customWidth="1"/>
    <col min="6904" max="6904" width="14.59765625" style="4" bestFit="1" customWidth="1"/>
    <col min="6905" max="6905" width="17.3984375" style="4" bestFit="1" customWidth="1"/>
    <col min="6906" max="6906" width="17.59765625" style="4" bestFit="1" customWidth="1"/>
    <col min="6907" max="6907" width="14.73046875" style="4" bestFit="1" customWidth="1"/>
    <col min="6908" max="6908" width="14.3984375" style="4" bestFit="1" customWidth="1"/>
    <col min="6909" max="6909" width="12.1328125" style="4" bestFit="1" customWidth="1"/>
    <col min="6910" max="6910" width="12.3984375" style="4" bestFit="1" customWidth="1"/>
    <col min="6911" max="6912" width="13.86328125" style="4" bestFit="1" customWidth="1"/>
    <col min="6913" max="6913" width="14.86328125" style="4" bestFit="1" customWidth="1"/>
    <col min="6914" max="6914" width="12.1328125" style="4" bestFit="1" customWidth="1"/>
    <col min="6915" max="6915" width="12.3984375" style="4" bestFit="1" customWidth="1"/>
    <col min="6916" max="6917" width="13.86328125" style="4" bestFit="1" customWidth="1"/>
    <col min="6918" max="6918" width="14.86328125" style="4" bestFit="1" customWidth="1"/>
    <col min="6919" max="7157" width="9.1328125" style="4"/>
    <col min="7158" max="7158" width="15.3984375" style="4" bestFit="1" customWidth="1"/>
    <col min="7159" max="7159" width="11.1328125" style="4" bestFit="1" customWidth="1"/>
    <col min="7160" max="7160" width="14.59765625" style="4" bestFit="1" customWidth="1"/>
    <col min="7161" max="7161" width="17.3984375" style="4" bestFit="1" customWidth="1"/>
    <col min="7162" max="7162" width="17.59765625" style="4" bestFit="1" customWidth="1"/>
    <col min="7163" max="7163" width="14.73046875" style="4" bestFit="1" customWidth="1"/>
    <col min="7164" max="7164" width="14.3984375" style="4" bestFit="1" customWidth="1"/>
    <col min="7165" max="7165" width="12.1328125" style="4" bestFit="1" customWidth="1"/>
    <col min="7166" max="7166" width="12.3984375" style="4" bestFit="1" customWidth="1"/>
    <col min="7167" max="7168" width="13.86328125" style="4" bestFit="1" customWidth="1"/>
    <col min="7169" max="7169" width="14.86328125" style="4" bestFit="1" customWidth="1"/>
    <col min="7170" max="7170" width="12.1328125" style="4" bestFit="1" customWidth="1"/>
    <col min="7171" max="7171" width="12.3984375" style="4" bestFit="1" customWidth="1"/>
    <col min="7172" max="7173" width="13.86328125" style="4" bestFit="1" customWidth="1"/>
    <col min="7174" max="7174" width="14.86328125" style="4" bestFit="1" customWidth="1"/>
    <col min="7175" max="7413" width="9.1328125" style="4"/>
    <col min="7414" max="7414" width="15.3984375" style="4" bestFit="1" customWidth="1"/>
    <col min="7415" max="7415" width="11.1328125" style="4" bestFit="1" customWidth="1"/>
    <col min="7416" max="7416" width="14.59765625" style="4" bestFit="1" customWidth="1"/>
    <col min="7417" max="7417" width="17.3984375" style="4" bestFit="1" customWidth="1"/>
    <col min="7418" max="7418" width="17.59765625" style="4" bestFit="1" customWidth="1"/>
    <col min="7419" max="7419" width="14.73046875" style="4" bestFit="1" customWidth="1"/>
    <col min="7420" max="7420" width="14.3984375" style="4" bestFit="1" customWidth="1"/>
    <col min="7421" max="7421" width="12.1328125" style="4" bestFit="1" customWidth="1"/>
    <col min="7422" max="7422" width="12.3984375" style="4" bestFit="1" customWidth="1"/>
    <col min="7423" max="7424" width="13.86328125" style="4" bestFit="1" customWidth="1"/>
    <col min="7425" max="7425" width="14.86328125" style="4" bestFit="1" customWidth="1"/>
    <col min="7426" max="7426" width="12.1328125" style="4" bestFit="1" customWidth="1"/>
    <col min="7427" max="7427" width="12.3984375" style="4" bestFit="1" customWidth="1"/>
    <col min="7428" max="7429" width="13.86328125" style="4" bestFit="1" customWidth="1"/>
    <col min="7430" max="7430" width="14.86328125" style="4" bestFit="1" customWidth="1"/>
    <col min="7431" max="7669" width="9.1328125" style="4"/>
    <col min="7670" max="7670" width="15.3984375" style="4" bestFit="1" customWidth="1"/>
    <col min="7671" max="7671" width="11.1328125" style="4" bestFit="1" customWidth="1"/>
    <col min="7672" max="7672" width="14.59765625" style="4" bestFit="1" customWidth="1"/>
    <col min="7673" max="7673" width="17.3984375" style="4" bestFit="1" customWidth="1"/>
    <col min="7674" max="7674" width="17.59765625" style="4" bestFit="1" customWidth="1"/>
    <col min="7675" max="7675" width="14.73046875" style="4" bestFit="1" customWidth="1"/>
    <col min="7676" max="7676" width="14.3984375" style="4" bestFit="1" customWidth="1"/>
    <col min="7677" max="7677" width="12.1328125" style="4" bestFit="1" customWidth="1"/>
    <col min="7678" max="7678" width="12.3984375" style="4" bestFit="1" customWidth="1"/>
    <col min="7679" max="7680" width="13.86328125" style="4" bestFit="1" customWidth="1"/>
    <col min="7681" max="7681" width="14.86328125" style="4" bestFit="1" customWidth="1"/>
    <col min="7682" max="7682" width="12.1328125" style="4" bestFit="1" customWidth="1"/>
    <col min="7683" max="7683" width="12.3984375" style="4" bestFit="1" customWidth="1"/>
    <col min="7684" max="7685" width="13.86328125" style="4" bestFit="1" customWidth="1"/>
    <col min="7686" max="7686" width="14.86328125" style="4" bestFit="1" customWidth="1"/>
    <col min="7687" max="7925" width="9.1328125" style="4"/>
    <col min="7926" max="7926" width="15.3984375" style="4" bestFit="1" customWidth="1"/>
    <col min="7927" max="7927" width="11.1328125" style="4" bestFit="1" customWidth="1"/>
    <col min="7928" max="7928" width="14.59765625" style="4" bestFit="1" customWidth="1"/>
    <col min="7929" max="7929" width="17.3984375" style="4" bestFit="1" customWidth="1"/>
    <col min="7930" max="7930" width="17.59765625" style="4" bestFit="1" customWidth="1"/>
    <col min="7931" max="7931" width="14.73046875" style="4" bestFit="1" customWidth="1"/>
    <col min="7932" max="7932" width="14.3984375" style="4" bestFit="1" customWidth="1"/>
    <col min="7933" max="7933" width="12.1328125" style="4" bestFit="1" customWidth="1"/>
    <col min="7934" max="7934" width="12.3984375" style="4" bestFit="1" customWidth="1"/>
    <col min="7935" max="7936" width="13.86328125" style="4" bestFit="1" customWidth="1"/>
    <col min="7937" max="7937" width="14.86328125" style="4" bestFit="1" customWidth="1"/>
    <col min="7938" max="7938" width="12.1328125" style="4" bestFit="1" customWidth="1"/>
    <col min="7939" max="7939" width="12.3984375" style="4" bestFit="1" customWidth="1"/>
    <col min="7940" max="7941" width="13.86328125" style="4" bestFit="1" customWidth="1"/>
    <col min="7942" max="7942" width="14.86328125" style="4" bestFit="1" customWidth="1"/>
    <col min="7943" max="8181" width="9.1328125" style="4"/>
    <col min="8182" max="8182" width="15.3984375" style="4" bestFit="1" customWidth="1"/>
    <col min="8183" max="8183" width="11.1328125" style="4" bestFit="1" customWidth="1"/>
    <col min="8184" max="8184" width="14.59765625" style="4" bestFit="1" customWidth="1"/>
    <col min="8185" max="8185" width="17.3984375" style="4" bestFit="1" customWidth="1"/>
    <col min="8186" max="8186" width="17.59765625" style="4" bestFit="1" customWidth="1"/>
    <col min="8187" max="8187" width="14.73046875" style="4" bestFit="1" customWidth="1"/>
    <col min="8188" max="8188" width="14.3984375" style="4" bestFit="1" customWidth="1"/>
    <col min="8189" max="8189" width="12.1328125" style="4" bestFit="1" customWidth="1"/>
    <col min="8190" max="8190" width="12.3984375" style="4" bestFit="1" customWidth="1"/>
    <col min="8191" max="8192" width="13.86328125" style="4" bestFit="1" customWidth="1"/>
    <col min="8193" max="8193" width="14.86328125" style="4" bestFit="1" customWidth="1"/>
    <col min="8194" max="8194" width="12.1328125" style="4" bestFit="1" customWidth="1"/>
    <col min="8195" max="8195" width="12.3984375" style="4" bestFit="1" customWidth="1"/>
    <col min="8196" max="8197" width="13.86328125" style="4" bestFit="1" customWidth="1"/>
    <col min="8198" max="8198" width="14.86328125" style="4" bestFit="1" customWidth="1"/>
    <col min="8199" max="8437" width="9.1328125" style="4"/>
    <col min="8438" max="8438" width="15.3984375" style="4" bestFit="1" customWidth="1"/>
    <col min="8439" max="8439" width="11.1328125" style="4" bestFit="1" customWidth="1"/>
    <col min="8440" max="8440" width="14.59765625" style="4" bestFit="1" customWidth="1"/>
    <col min="8441" max="8441" width="17.3984375" style="4" bestFit="1" customWidth="1"/>
    <col min="8442" max="8442" width="17.59765625" style="4" bestFit="1" customWidth="1"/>
    <col min="8443" max="8443" width="14.73046875" style="4" bestFit="1" customWidth="1"/>
    <col min="8444" max="8444" width="14.3984375" style="4" bestFit="1" customWidth="1"/>
    <col min="8445" max="8445" width="12.1328125" style="4" bestFit="1" customWidth="1"/>
    <col min="8446" max="8446" width="12.3984375" style="4" bestFit="1" customWidth="1"/>
    <col min="8447" max="8448" width="13.86328125" style="4" bestFit="1" customWidth="1"/>
    <col min="8449" max="8449" width="14.86328125" style="4" bestFit="1" customWidth="1"/>
    <col min="8450" max="8450" width="12.1328125" style="4" bestFit="1" customWidth="1"/>
    <col min="8451" max="8451" width="12.3984375" style="4" bestFit="1" customWidth="1"/>
    <col min="8452" max="8453" width="13.86328125" style="4" bestFit="1" customWidth="1"/>
    <col min="8454" max="8454" width="14.86328125" style="4" bestFit="1" customWidth="1"/>
    <col min="8455" max="8693" width="9.1328125" style="4"/>
    <col min="8694" max="8694" width="15.3984375" style="4" bestFit="1" customWidth="1"/>
    <col min="8695" max="8695" width="11.1328125" style="4" bestFit="1" customWidth="1"/>
    <col min="8696" max="8696" width="14.59765625" style="4" bestFit="1" customWidth="1"/>
    <col min="8697" max="8697" width="17.3984375" style="4" bestFit="1" customWidth="1"/>
    <col min="8698" max="8698" width="17.59765625" style="4" bestFit="1" customWidth="1"/>
    <col min="8699" max="8699" width="14.73046875" style="4" bestFit="1" customWidth="1"/>
    <col min="8700" max="8700" width="14.3984375" style="4" bestFit="1" customWidth="1"/>
    <col min="8701" max="8701" width="12.1328125" style="4" bestFit="1" customWidth="1"/>
    <col min="8702" max="8702" width="12.3984375" style="4" bestFit="1" customWidth="1"/>
    <col min="8703" max="8704" width="13.86328125" style="4" bestFit="1" customWidth="1"/>
    <col min="8705" max="8705" width="14.86328125" style="4" bestFit="1" customWidth="1"/>
    <col min="8706" max="8706" width="12.1328125" style="4" bestFit="1" customWidth="1"/>
    <col min="8707" max="8707" width="12.3984375" style="4" bestFit="1" customWidth="1"/>
    <col min="8708" max="8709" width="13.86328125" style="4" bestFit="1" customWidth="1"/>
    <col min="8710" max="8710" width="14.86328125" style="4" bestFit="1" customWidth="1"/>
    <col min="8711" max="8949" width="9.1328125" style="4"/>
    <col min="8950" max="8950" width="15.3984375" style="4" bestFit="1" customWidth="1"/>
    <col min="8951" max="8951" width="11.1328125" style="4" bestFit="1" customWidth="1"/>
    <col min="8952" max="8952" width="14.59765625" style="4" bestFit="1" customWidth="1"/>
    <col min="8953" max="8953" width="17.3984375" style="4" bestFit="1" customWidth="1"/>
    <col min="8954" max="8954" width="17.59765625" style="4" bestFit="1" customWidth="1"/>
    <col min="8955" max="8955" width="14.73046875" style="4" bestFit="1" customWidth="1"/>
    <col min="8956" max="8956" width="14.3984375" style="4" bestFit="1" customWidth="1"/>
    <col min="8957" max="8957" width="12.1328125" style="4" bestFit="1" customWidth="1"/>
    <col min="8958" max="8958" width="12.3984375" style="4" bestFit="1" customWidth="1"/>
    <col min="8959" max="8960" width="13.86328125" style="4" bestFit="1" customWidth="1"/>
    <col min="8961" max="8961" width="14.86328125" style="4" bestFit="1" customWidth="1"/>
    <col min="8962" max="8962" width="12.1328125" style="4" bestFit="1" customWidth="1"/>
    <col min="8963" max="8963" width="12.3984375" style="4" bestFit="1" customWidth="1"/>
    <col min="8964" max="8965" width="13.86328125" style="4" bestFit="1" customWidth="1"/>
    <col min="8966" max="8966" width="14.86328125" style="4" bestFit="1" customWidth="1"/>
    <col min="8967" max="9205" width="9.1328125" style="4"/>
    <col min="9206" max="9206" width="15.3984375" style="4" bestFit="1" customWidth="1"/>
    <col min="9207" max="9207" width="11.1328125" style="4" bestFit="1" customWidth="1"/>
    <col min="9208" max="9208" width="14.59765625" style="4" bestFit="1" customWidth="1"/>
    <col min="9209" max="9209" width="17.3984375" style="4" bestFit="1" customWidth="1"/>
    <col min="9210" max="9210" width="17.59765625" style="4" bestFit="1" customWidth="1"/>
    <col min="9211" max="9211" width="14.73046875" style="4" bestFit="1" customWidth="1"/>
    <col min="9212" max="9212" width="14.3984375" style="4" bestFit="1" customWidth="1"/>
    <col min="9213" max="9213" width="12.1328125" style="4" bestFit="1" customWidth="1"/>
    <col min="9214" max="9214" width="12.3984375" style="4" bestFit="1" customWidth="1"/>
    <col min="9215" max="9216" width="13.86328125" style="4" bestFit="1" customWidth="1"/>
    <col min="9217" max="9217" width="14.86328125" style="4" bestFit="1" customWidth="1"/>
    <col min="9218" max="9218" width="12.1328125" style="4" bestFit="1" customWidth="1"/>
    <col min="9219" max="9219" width="12.3984375" style="4" bestFit="1" customWidth="1"/>
    <col min="9220" max="9221" width="13.86328125" style="4" bestFit="1" customWidth="1"/>
    <col min="9222" max="9222" width="14.86328125" style="4" bestFit="1" customWidth="1"/>
    <col min="9223" max="9461" width="9.1328125" style="4"/>
    <col min="9462" max="9462" width="15.3984375" style="4" bestFit="1" customWidth="1"/>
    <col min="9463" max="9463" width="11.1328125" style="4" bestFit="1" customWidth="1"/>
    <col min="9464" max="9464" width="14.59765625" style="4" bestFit="1" customWidth="1"/>
    <col min="9465" max="9465" width="17.3984375" style="4" bestFit="1" customWidth="1"/>
    <col min="9466" max="9466" width="17.59765625" style="4" bestFit="1" customWidth="1"/>
    <col min="9467" max="9467" width="14.73046875" style="4" bestFit="1" customWidth="1"/>
    <col min="9468" max="9468" width="14.3984375" style="4" bestFit="1" customWidth="1"/>
    <col min="9469" max="9469" width="12.1328125" style="4" bestFit="1" customWidth="1"/>
    <col min="9470" max="9470" width="12.3984375" style="4" bestFit="1" customWidth="1"/>
    <col min="9471" max="9472" width="13.86328125" style="4" bestFit="1" customWidth="1"/>
    <col min="9473" max="9473" width="14.86328125" style="4" bestFit="1" customWidth="1"/>
    <col min="9474" max="9474" width="12.1328125" style="4" bestFit="1" customWidth="1"/>
    <col min="9475" max="9475" width="12.3984375" style="4" bestFit="1" customWidth="1"/>
    <col min="9476" max="9477" width="13.86328125" style="4" bestFit="1" customWidth="1"/>
    <col min="9478" max="9478" width="14.86328125" style="4" bestFit="1" customWidth="1"/>
    <col min="9479" max="9717" width="9.1328125" style="4"/>
    <col min="9718" max="9718" width="15.3984375" style="4" bestFit="1" customWidth="1"/>
    <col min="9719" max="9719" width="11.1328125" style="4" bestFit="1" customWidth="1"/>
    <col min="9720" max="9720" width="14.59765625" style="4" bestFit="1" customWidth="1"/>
    <col min="9721" max="9721" width="17.3984375" style="4" bestFit="1" customWidth="1"/>
    <col min="9722" max="9722" width="17.59765625" style="4" bestFit="1" customWidth="1"/>
    <col min="9723" max="9723" width="14.73046875" style="4" bestFit="1" customWidth="1"/>
    <col min="9724" max="9724" width="14.3984375" style="4" bestFit="1" customWidth="1"/>
    <col min="9725" max="9725" width="12.1328125" style="4" bestFit="1" customWidth="1"/>
    <col min="9726" max="9726" width="12.3984375" style="4" bestFit="1" customWidth="1"/>
    <col min="9727" max="9728" width="13.86328125" style="4" bestFit="1" customWidth="1"/>
    <col min="9729" max="9729" width="14.86328125" style="4" bestFit="1" customWidth="1"/>
    <col min="9730" max="9730" width="12.1328125" style="4" bestFit="1" customWidth="1"/>
    <col min="9731" max="9731" width="12.3984375" style="4" bestFit="1" customWidth="1"/>
    <col min="9732" max="9733" width="13.86328125" style="4" bestFit="1" customWidth="1"/>
    <col min="9734" max="9734" width="14.86328125" style="4" bestFit="1" customWidth="1"/>
    <col min="9735" max="9973" width="9.1328125" style="4"/>
    <col min="9974" max="9974" width="15.3984375" style="4" bestFit="1" customWidth="1"/>
    <col min="9975" max="9975" width="11.1328125" style="4" bestFit="1" customWidth="1"/>
    <col min="9976" max="9976" width="14.59765625" style="4" bestFit="1" customWidth="1"/>
    <col min="9977" max="9977" width="17.3984375" style="4" bestFit="1" customWidth="1"/>
    <col min="9978" max="9978" width="17.59765625" style="4" bestFit="1" customWidth="1"/>
    <col min="9979" max="9979" width="14.73046875" style="4" bestFit="1" customWidth="1"/>
    <col min="9980" max="9980" width="14.3984375" style="4" bestFit="1" customWidth="1"/>
    <col min="9981" max="9981" width="12.1328125" style="4" bestFit="1" customWidth="1"/>
    <col min="9982" max="9982" width="12.3984375" style="4" bestFit="1" customWidth="1"/>
    <col min="9983" max="9984" width="13.86328125" style="4" bestFit="1" customWidth="1"/>
    <col min="9985" max="9985" width="14.86328125" style="4" bestFit="1" customWidth="1"/>
    <col min="9986" max="9986" width="12.1328125" style="4" bestFit="1" customWidth="1"/>
    <col min="9987" max="9987" width="12.3984375" style="4" bestFit="1" customWidth="1"/>
    <col min="9988" max="9989" width="13.86328125" style="4" bestFit="1" customWidth="1"/>
    <col min="9990" max="9990" width="14.86328125" style="4" bestFit="1" customWidth="1"/>
    <col min="9991" max="10229" width="9.1328125" style="4"/>
    <col min="10230" max="10230" width="15.3984375" style="4" bestFit="1" customWidth="1"/>
    <col min="10231" max="10231" width="11.1328125" style="4" bestFit="1" customWidth="1"/>
    <col min="10232" max="10232" width="14.59765625" style="4" bestFit="1" customWidth="1"/>
    <col min="10233" max="10233" width="17.3984375" style="4" bestFit="1" customWidth="1"/>
    <col min="10234" max="10234" width="17.59765625" style="4" bestFit="1" customWidth="1"/>
    <col min="10235" max="10235" width="14.73046875" style="4" bestFit="1" customWidth="1"/>
    <col min="10236" max="10236" width="14.3984375" style="4" bestFit="1" customWidth="1"/>
    <col min="10237" max="10237" width="12.1328125" style="4" bestFit="1" customWidth="1"/>
    <col min="10238" max="10238" width="12.3984375" style="4" bestFit="1" customWidth="1"/>
    <col min="10239" max="10240" width="13.86328125" style="4" bestFit="1" customWidth="1"/>
    <col min="10241" max="10241" width="14.86328125" style="4" bestFit="1" customWidth="1"/>
    <col min="10242" max="10242" width="12.1328125" style="4" bestFit="1" customWidth="1"/>
    <col min="10243" max="10243" width="12.3984375" style="4" bestFit="1" customWidth="1"/>
    <col min="10244" max="10245" width="13.86328125" style="4" bestFit="1" customWidth="1"/>
    <col min="10246" max="10246" width="14.86328125" style="4" bestFit="1" customWidth="1"/>
    <col min="10247" max="10485" width="9.1328125" style="4"/>
    <col min="10486" max="10486" width="15.3984375" style="4" bestFit="1" customWidth="1"/>
    <col min="10487" max="10487" width="11.1328125" style="4" bestFit="1" customWidth="1"/>
    <col min="10488" max="10488" width="14.59765625" style="4" bestFit="1" customWidth="1"/>
    <col min="10489" max="10489" width="17.3984375" style="4" bestFit="1" customWidth="1"/>
    <col min="10490" max="10490" width="17.59765625" style="4" bestFit="1" customWidth="1"/>
    <col min="10491" max="10491" width="14.73046875" style="4" bestFit="1" customWidth="1"/>
    <col min="10492" max="10492" width="14.3984375" style="4" bestFit="1" customWidth="1"/>
    <col min="10493" max="10493" width="12.1328125" style="4" bestFit="1" customWidth="1"/>
    <col min="10494" max="10494" width="12.3984375" style="4" bestFit="1" customWidth="1"/>
    <col min="10495" max="10496" width="13.86328125" style="4" bestFit="1" customWidth="1"/>
    <col min="10497" max="10497" width="14.86328125" style="4" bestFit="1" customWidth="1"/>
    <col min="10498" max="10498" width="12.1328125" style="4" bestFit="1" customWidth="1"/>
    <col min="10499" max="10499" width="12.3984375" style="4" bestFit="1" customWidth="1"/>
    <col min="10500" max="10501" width="13.86328125" style="4" bestFit="1" customWidth="1"/>
    <col min="10502" max="10502" width="14.86328125" style="4" bestFit="1" customWidth="1"/>
    <col min="10503" max="10741" width="9.1328125" style="4"/>
    <col min="10742" max="10742" width="15.3984375" style="4" bestFit="1" customWidth="1"/>
    <col min="10743" max="10743" width="11.1328125" style="4" bestFit="1" customWidth="1"/>
    <col min="10744" max="10744" width="14.59765625" style="4" bestFit="1" customWidth="1"/>
    <col min="10745" max="10745" width="17.3984375" style="4" bestFit="1" customWidth="1"/>
    <col min="10746" max="10746" width="17.59765625" style="4" bestFit="1" customWidth="1"/>
    <col min="10747" max="10747" width="14.73046875" style="4" bestFit="1" customWidth="1"/>
    <col min="10748" max="10748" width="14.3984375" style="4" bestFit="1" customWidth="1"/>
    <col min="10749" max="10749" width="12.1328125" style="4" bestFit="1" customWidth="1"/>
    <col min="10750" max="10750" width="12.3984375" style="4" bestFit="1" customWidth="1"/>
    <col min="10751" max="10752" width="13.86328125" style="4" bestFit="1" customWidth="1"/>
    <col min="10753" max="10753" width="14.86328125" style="4" bestFit="1" customWidth="1"/>
    <col min="10754" max="10754" width="12.1328125" style="4" bestFit="1" customWidth="1"/>
    <col min="10755" max="10755" width="12.3984375" style="4" bestFit="1" customWidth="1"/>
    <col min="10756" max="10757" width="13.86328125" style="4" bestFit="1" customWidth="1"/>
    <col min="10758" max="10758" width="14.86328125" style="4" bestFit="1" customWidth="1"/>
    <col min="10759" max="10997" width="9.1328125" style="4"/>
    <col min="10998" max="10998" width="15.3984375" style="4" bestFit="1" customWidth="1"/>
    <col min="10999" max="10999" width="11.1328125" style="4" bestFit="1" customWidth="1"/>
    <col min="11000" max="11000" width="14.59765625" style="4" bestFit="1" customWidth="1"/>
    <col min="11001" max="11001" width="17.3984375" style="4" bestFit="1" customWidth="1"/>
    <col min="11002" max="11002" width="17.59765625" style="4" bestFit="1" customWidth="1"/>
    <col min="11003" max="11003" width="14.73046875" style="4" bestFit="1" customWidth="1"/>
    <col min="11004" max="11004" width="14.3984375" style="4" bestFit="1" customWidth="1"/>
    <col min="11005" max="11005" width="12.1328125" style="4" bestFit="1" customWidth="1"/>
    <col min="11006" max="11006" width="12.3984375" style="4" bestFit="1" customWidth="1"/>
    <col min="11007" max="11008" width="13.86328125" style="4" bestFit="1" customWidth="1"/>
    <col min="11009" max="11009" width="14.86328125" style="4" bestFit="1" customWidth="1"/>
    <col min="11010" max="11010" width="12.1328125" style="4" bestFit="1" customWidth="1"/>
    <col min="11011" max="11011" width="12.3984375" style="4" bestFit="1" customWidth="1"/>
    <col min="11012" max="11013" width="13.86328125" style="4" bestFit="1" customWidth="1"/>
    <col min="11014" max="11014" width="14.86328125" style="4" bestFit="1" customWidth="1"/>
    <col min="11015" max="11253" width="9.1328125" style="4"/>
    <col min="11254" max="11254" width="15.3984375" style="4" bestFit="1" customWidth="1"/>
    <col min="11255" max="11255" width="11.1328125" style="4" bestFit="1" customWidth="1"/>
    <col min="11256" max="11256" width="14.59765625" style="4" bestFit="1" customWidth="1"/>
    <col min="11257" max="11257" width="17.3984375" style="4" bestFit="1" customWidth="1"/>
    <col min="11258" max="11258" width="17.59765625" style="4" bestFit="1" customWidth="1"/>
    <col min="11259" max="11259" width="14.73046875" style="4" bestFit="1" customWidth="1"/>
    <col min="11260" max="11260" width="14.3984375" style="4" bestFit="1" customWidth="1"/>
    <col min="11261" max="11261" width="12.1328125" style="4" bestFit="1" customWidth="1"/>
    <col min="11262" max="11262" width="12.3984375" style="4" bestFit="1" customWidth="1"/>
    <col min="11263" max="11264" width="13.86328125" style="4" bestFit="1" customWidth="1"/>
    <col min="11265" max="11265" width="14.86328125" style="4" bestFit="1" customWidth="1"/>
    <col min="11266" max="11266" width="12.1328125" style="4" bestFit="1" customWidth="1"/>
    <col min="11267" max="11267" width="12.3984375" style="4" bestFit="1" customWidth="1"/>
    <col min="11268" max="11269" width="13.86328125" style="4" bestFit="1" customWidth="1"/>
    <col min="11270" max="11270" width="14.86328125" style="4" bestFit="1" customWidth="1"/>
    <col min="11271" max="11509" width="9.1328125" style="4"/>
    <col min="11510" max="11510" width="15.3984375" style="4" bestFit="1" customWidth="1"/>
    <col min="11511" max="11511" width="11.1328125" style="4" bestFit="1" customWidth="1"/>
    <col min="11512" max="11512" width="14.59765625" style="4" bestFit="1" customWidth="1"/>
    <col min="11513" max="11513" width="17.3984375" style="4" bestFit="1" customWidth="1"/>
    <col min="11514" max="11514" width="17.59765625" style="4" bestFit="1" customWidth="1"/>
    <col min="11515" max="11515" width="14.73046875" style="4" bestFit="1" customWidth="1"/>
    <col min="11516" max="11516" width="14.3984375" style="4" bestFit="1" customWidth="1"/>
    <col min="11517" max="11517" width="12.1328125" style="4" bestFit="1" customWidth="1"/>
    <col min="11518" max="11518" width="12.3984375" style="4" bestFit="1" customWidth="1"/>
    <col min="11519" max="11520" width="13.86328125" style="4" bestFit="1" customWidth="1"/>
    <col min="11521" max="11521" width="14.86328125" style="4" bestFit="1" customWidth="1"/>
    <col min="11522" max="11522" width="12.1328125" style="4" bestFit="1" customWidth="1"/>
    <col min="11523" max="11523" width="12.3984375" style="4" bestFit="1" customWidth="1"/>
    <col min="11524" max="11525" width="13.86328125" style="4" bestFit="1" customWidth="1"/>
    <col min="11526" max="11526" width="14.86328125" style="4" bestFit="1" customWidth="1"/>
    <col min="11527" max="11765" width="9.1328125" style="4"/>
    <col min="11766" max="11766" width="15.3984375" style="4" bestFit="1" customWidth="1"/>
    <col min="11767" max="11767" width="11.1328125" style="4" bestFit="1" customWidth="1"/>
    <col min="11768" max="11768" width="14.59765625" style="4" bestFit="1" customWidth="1"/>
    <col min="11769" max="11769" width="17.3984375" style="4" bestFit="1" customWidth="1"/>
    <col min="11770" max="11770" width="17.59765625" style="4" bestFit="1" customWidth="1"/>
    <col min="11771" max="11771" width="14.73046875" style="4" bestFit="1" customWidth="1"/>
    <col min="11772" max="11772" width="14.3984375" style="4" bestFit="1" customWidth="1"/>
    <col min="11773" max="11773" width="12.1328125" style="4" bestFit="1" customWidth="1"/>
    <col min="11774" max="11774" width="12.3984375" style="4" bestFit="1" customWidth="1"/>
    <col min="11775" max="11776" width="13.86328125" style="4" bestFit="1" customWidth="1"/>
    <col min="11777" max="11777" width="14.86328125" style="4" bestFit="1" customWidth="1"/>
    <col min="11778" max="11778" width="12.1328125" style="4" bestFit="1" customWidth="1"/>
    <col min="11779" max="11779" width="12.3984375" style="4" bestFit="1" customWidth="1"/>
    <col min="11780" max="11781" width="13.86328125" style="4" bestFit="1" customWidth="1"/>
    <col min="11782" max="11782" width="14.86328125" style="4" bestFit="1" customWidth="1"/>
    <col min="11783" max="12021" width="9.1328125" style="4"/>
    <col min="12022" max="12022" width="15.3984375" style="4" bestFit="1" customWidth="1"/>
    <col min="12023" max="12023" width="11.1328125" style="4" bestFit="1" customWidth="1"/>
    <col min="12024" max="12024" width="14.59765625" style="4" bestFit="1" customWidth="1"/>
    <col min="12025" max="12025" width="17.3984375" style="4" bestFit="1" customWidth="1"/>
    <col min="12026" max="12026" width="17.59765625" style="4" bestFit="1" customWidth="1"/>
    <col min="12027" max="12027" width="14.73046875" style="4" bestFit="1" customWidth="1"/>
    <col min="12028" max="12028" width="14.3984375" style="4" bestFit="1" customWidth="1"/>
    <col min="12029" max="12029" width="12.1328125" style="4" bestFit="1" customWidth="1"/>
    <col min="12030" max="12030" width="12.3984375" style="4" bestFit="1" customWidth="1"/>
    <col min="12031" max="12032" width="13.86328125" style="4" bestFit="1" customWidth="1"/>
    <col min="12033" max="12033" width="14.86328125" style="4" bestFit="1" customWidth="1"/>
    <col min="12034" max="12034" width="12.1328125" style="4" bestFit="1" customWidth="1"/>
    <col min="12035" max="12035" width="12.3984375" style="4" bestFit="1" customWidth="1"/>
    <col min="12036" max="12037" width="13.86328125" style="4" bestFit="1" customWidth="1"/>
    <col min="12038" max="12038" width="14.86328125" style="4" bestFit="1" customWidth="1"/>
    <col min="12039" max="12277" width="9.1328125" style="4"/>
    <col min="12278" max="12278" width="15.3984375" style="4" bestFit="1" customWidth="1"/>
    <col min="12279" max="12279" width="11.1328125" style="4" bestFit="1" customWidth="1"/>
    <col min="12280" max="12280" width="14.59765625" style="4" bestFit="1" customWidth="1"/>
    <col min="12281" max="12281" width="17.3984375" style="4" bestFit="1" customWidth="1"/>
    <col min="12282" max="12282" width="17.59765625" style="4" bestFit="1" customWidth="1"/>
    <col min="12283" max="12283" width="14.73046875" style="4" bestFit="1" customWidth="1"/>
    <col min="12284" max="12284" width="14.3984375" style="4" bestFit="1" customWidth="1"/>
    <col min="12285" max="12285" width="12.1328125" style="4" bestFit="1" customWidth="1"/>
    <col min="12286" max="12286" width="12.3984375" style="4" bestFit="1" customWidth="1"/>
    <col min="12287" max="12288" width="13.86328125" style="4" bestFit="1" customWidth="1"/>
    <col min="12289" max="12289" width="14.86328125" style="4" bestFit="1" customWidth="1"/>
    <col min="12290" max="12290" width="12.1328125" style="4" bestFit="1" customWidth="1"/>
    <col min="12291" max="12291" width="12.3984375" style="4" bestFit="1" customWidth="1"/>
    <col min="12292" max="12293" width="13.86328125" style="4" bestFit="1" customWidth="1"/>
    <col min="12294" max="12294" width="14.86328125" style="4" bestFit="1" customWidth="1"/>
    <col min="12295" max="12533" width="9.1328125" style="4"/>
    <col min="12534" max="12534" width="15.3984375" style="4" bestFit="1" customWidth="1"/>
    <col min="12535" max="12535" width="11.1328125" style="4" bestFit="1" customWidth="1"/>
    <col min="12536" max="12536" width="14.59765625" style="4" bestFit="1" customWidth="1"/>
    <col min="12537" max="12537" width="17.3984375" style="4" bestFit="1" customWidth="1"/>
    <col min="12538" max="12538" width="17.59765625" style="4" bestFit="1" customWidth="1"/>
    <col min="12539" max="12539" width="14.73046875" style="4" bestFit="1" customWidth="1"/>
    <col min="12540" max="12540" width="14.3984375" style="4" bestFit="1" customWidth="1"/>
    <col min="12541" max="12541" width="12.1328125" style="4" bestFit="1" customWidth="1"/>
    <col min="12542" max="12542" width="12.3984375" style="4" bestFit="1" customWidth="1"/>
    <col min="12543" max="12544" width="13.86328125" style="4" bestFit="1" customWidth="1"/>
    <col min="12545" max="12545" width="14.86328125" style="4" bestFit="1" customWidth="1"/>
    <col min="12546" max="12546" width="12.1328125" style="4" bestFit="1" customWidth="1"/>
    <col min="12547" max="12547" width="12.3984375" style="4" bestFit="1" customWidth="1"/>
    <col min="12548" max="12549" width="13.86328125" style="4" bestFit="1" customWidth="1"/>
    <col min="12550" max="12550" width="14.86328125" style="4" bestFit="1" customWidth="1"/>
    <col min="12551" max="12789" width="9.1328125" style="4"/>
    <col min="12790" max="12790" width="15.3984375" style="4" bestFit="1" customWidth="1"/>
    <col min="12791" max="12791" width="11.1328125" style="4" bestFit="1" customWidth="1"/>
    <col min="12792" max="12792" width="14.59765625" style="4" bestFit="1" customWidth="1"/>
    <col min="12793" max="12793" width="17.3984375" style="4" bestFit="1" customWidth="1"/>
    <col min="12794" max="12794" width="17.59765625" style="4" bestFit="1" customWidth="1"/>
    <col min="12795" max="12795" width="14.73046875" style="4" bestFit="1" customWidth="1"/>
    <col min="12796" max="12796" width="14.3984375" style="4" bestFit="1" customWidth="1"/>
    <col min="12797" max="12797" width="12.1328125" style="4" bestFit="1" customWidth="1"/>
    <col min="12798" max="12798" width="12.3984375" style="4" bestFit="1" customWidth="1"/>
    <col min="12799" max="12800" width="13.86328125" style="4" bestFit="1" customWidth="1"/>
    <col min="12801" max="12801" width="14.86328125" style="4" bestFit="1" customWidth="1"/>
    <col min="12802" max="12802" width="12.1328125" style="4" bestFit="1" customWidth="1"/>
    <col min="12803" max="12803" width="12.3984375" style="4" bestFit="1" customWidth="1"/>
    <col min="12804" max="12805" width="13.86328125" style="4" bestFit="1" customWidth="1"/>
    <col min="12806" max="12806" width="14.86328125" style="4" bestFit="1" customWidth="1"/>
    <col min="12807" max="13045" width="9.1328125" style="4"/>
    <col min="13046" max="13046" width="15.3984375" style="4" bestFit="1" customWidth="1"/>
    <col min="13047" max="13047" width="11.1328125" style="4" bestFit="1" customWidth="1"/>
    <col min="13048" max="13048" width="14.59765625" style="4" bestFit="1" customWidth="1"/>
    <col min="13049" max="13049" width="17.3984375" style="4" bestFit="1" customWidth="1"/>
    <col min="13050" max="13050" width="17.59765625" style="4" bestFit="1" customWidth="1"/>
    <col min="13051" max="13051" width="14.73046875" style="4" bestFit="1" customWidth="1"/>
    <col min="13052" max="13052" width="14.3984375" style="4" bestFit="1" customWidth="1"/>
    <col min="13053" max="13053" width="12.1328125" style="4" bestFit="1" customWidth="1"/>
    <col min="13054" max="13054" width="12.3984375" style="4" bestFit="1" customWidth="1"/>
    <col min="13055" max="13056" width="13.86328125" style="4" bestFit="1" customWidth="1"/>
    <col min="13057" max="13057" width="14.86328125" style="4" bestFit="1" customWidth="1"/>
    <col min="13058" max="13058" width="12.1328125" style="4" bestFit="1" customWidth="1"/>
    <col min="13059" max="13059" width="12.3984375" style="4" bestFit="1" customWidth="1"/>
    <col min="13060" max="13061" width="13.86328125" style="4" bestFit="1" customWidth="1"/>
    <col min="13062" max="13062" width="14.86328125" style="4" bestFit="1" customWidth="1"/>
    <col min="13063" max="13301" width="9.1328125" style="4"/>
    <col min="13302" max="13302" width="15.3984375" style="4" bestFit="1" customWidth="1"/>
    <col min="13303" max="13303" width="11.1328125" style="4" bestFit="1" customWidth="1"/>
    <col min="13304" max="13304" width="14.59765625" style="4" bestFit="1" customWidth="1"/>
    <col min="13305" max="13305" width="17.3984375" style="4" bestFit="1" customWidth="1"/>
    <col min="13306" max="13306" width="17.59765625" style="4" bestFit="1" customWidth="1"/>
    <col min="13307" max="13307" width="14.73046875" style="4" bestFit="1" customWidth="1"/>
    <col min="13308" max="13308" width="14.3984375" style="4" bestFit="1" customWidth="1"/>
    <col min="13309" max="13309" width="12.1328125" style="4" bestFit="1" customWidth="1"/>
    <col min="13310" max="13310" width="12.3984375" style="4" bestFit="1" customWidth="1"/>
    <col min="13311" max="13312" width="13.86328125" style="4" bestFit="1" customWidth="1"/>
    <col min="13313" max="13313" width="14.86328125" style="4" bestFit="1" customWidth="1"/>
    <col min="13314" max="13314" width="12.1328125" style="4" bestFit="1" customWidth="1"/>
    <col min="13315" max="13315" width="12.3984375" style="4" bestFit="1" customWidth="1"/>
    <col min="13316" max="13317" width="13.86328125" style="4" bestFit="1" customWidth="1"/>
    <col min="13318" max="13318" width="14.86328125" style="4" bestFit="1" customWidth="1"/>
    <col min="13319" max="13557" width="9.1328125" style="4"/>
    <col min="13558" max="13558" width="15.3984375" style="4" bestFit="1" customWidth="1"/>
    <col min="13559" max="13559" width="11.1328125" style="4" bestFit="1" customWidth="1"/>
    <col min="13560" max="13560" width="14.59765625" style="4" bestFit="1" customWidth="1"/>
    <col min="13561" max="13561" width="17.3984375" style="4" bestFit="1" customWidth="1"/>
    <col min="13562" max="13562" width="17.59765625" style="4" bestFit="1" customWidth="1"/>
    <col min="13563" max="13563" width="14.73046875" style="4" bestFit="1" customWidth="1"/>
    <col min="13564" max="13564" width="14.3984375" style="4" bestFit="1" customWidth="1"/>
    <col min="13565" max="13565" width="12.1328125" style="4" bestFit="1" customWidth="1"/>
    <col min="13566" max="13566" width="12.3984375" style="4" bestFit="1" customWidth="1"/>
    <col min="13567" max="13568" width="13.86328125" style="4" bestFit="1" customWidth="1"/>
    <col min="13569" max="13569" width="14.86328125" style="4" bestFit="1" customWidth="1"/>
    <col min="13570" max="13570" width="12.1328125" style="4" bestFit="1" customWidth="1"/>
    <col min="13571" max="13571" width="12.3984375" style="4" bestFit="1" customWidth="1"/>
    <col min="13572" max="13573" width="13.86328125" style="4" bestFit="1" customWidth="1"/>
    <col min="13574" max="13574" width="14.86328125" style="4" bestFit="1" customWidth="1"/>
    <col min="13575" max="13813" width="9.1328125" style="4"/>
    <col min="13814" max="13814" width="15.3984375" style="4" bestFit="1" customWidth="1"/>
    <col min="13815" max="13815" width="11.1328125" style="4" bestFit="1" customWidth="1"/>
    <col min="13816" max="13816" width="14.59765625" style="4" bestFit="1" customWidth="1"/>
    <col min="13817" max="13817" width="17.3984375" style="4" bestFit="1" customWidth="1"/>
    <col min="13818" max="13818" width="17.59765625" style="4" bestFit="1" customWidth="1"/>
    <col min="13819" max="13819" width="14.73046875" style="4" bestFit="1" customWidth="1"/>
    <col min="13820" max="13820" width="14.3984375" style="4" bestFit="1" customWidth="1"/>
    <col min="13821" max="13821" width="12.1328125" style="4" bestFit="1" customWidth="1"/>
    <col min="13822" max="13822" width="12.3984375" style="4" bestFit="1" customWidth="1"/>
    <col min="13823" max="13824" width="13.86328125" style="4" bestFit="1" customWidth="1"/>
    <col min="13825" max="13825" width="14.86328125" style="4" bestFit="1" customWidth="1"/>
    <col min="13826" max="13826" width="12.1328125" style="4" bestFit="1" customWidth="1"/>
    <col min="13827" max="13827" width="12.3984375" style="4" bestFit="1" customWidth="1"/>
    <col min="13828" max="13829" width="13.86328125" style="4" bestFit="1" customWidth="1"/>
    <col min="13830" max="13830" width="14.86328125" style="4" bestFit="1" customWidth="1"/>
    <col min="13831" max="14069" width="9.1328125" style="4"/>
    <col min="14070" max="14070" width="15.3984375" style="4" bestFit="1" customWidth="1"/>
    <col min="14071" max="14071" width="11.1328125" style="4" bestFit="1" customWidth="1"/>
    <col min="14072" max="14072" width="14.59765625" style="4" bestFit="1" customWidth="1"/>
    <col min="14073" max="14073" width="17.3984375" style="4" bestFit="1" customWidth="1"/>
    <col min="14074" max="14074" width="17.59765625" style="4" bestFit="1" customWidth="1"/>
    <col min="14075" max="14075" width="14.73046875" style="4" bestFit="1" customWidth="1"/>
    <col min="14076" max="14076" width="14.3984375" style="4" bestFit="1" customWidth="1"/>
    <col min="14077" max="14077" width="12.1328125" style="4" bestFit="1" customWidth="1"/>
    <col min="14078" max="14078" width="12.3984375" style="4" bestFit="1" customWidth="1"/>
    <col min="14079" max="14080" width="13.86328125" style="4" bestFit="1" customWidth="1"/>
    <col min="14081" max="14081" width="14.86328125" style="4" bestFit="1" customWidth="1"/>
    <col min="14082" max="14082" width="12.1328125" style="4" bestFit="1" customWidth="1"/>
    <col min="14083" max="14083" width="12.3984375" style="4" bestFit="1" customWidth="1"/>
    <col min="14084" max="14085" width="13.86328125" style="4" bestFit="1" customWidth="1"/>
    <col min="14086" max="14086" width="14.86328125" style="4" bestFit="1" customWidth="1"/>
    <col min="14087" max="14325" width="9.1328125" style="4"/>
    <col min="14326" max="14326" width="15.3984375" style="4" bestFit="1" customWidth="1"/>
    <col min="14327" max="14327" width="11.1328125" style="4" bestFit="1" customWidth="1"/>
    <col min="14328" max="14328" width="14.59765625" style="4" bestFit="1" customWidth="1"/>
    <col min="14329" max="14329" width="17.3984375" style="4" bestFit="1" customWidth="1"/>
    <col min="14330" max="14330" width="17.59765625" style="4" bestFit="1" customWidth="1"/>
    <col min="14331" max="14331" width="14.73046875" style="4" bestFit="1" customWidth="1"/>
    <col min="14332" max="14332" width="14.3984375" style="4" bestFit="1" customWidth="1"/>
    <col min="14333" max="14333" width="12.1328125" style="4" bestFit="1" customWidth="1"/>
    <col min="14334" max="14334" width="12.3984375" style="4" bestFit="1" customWidth="1"/>
    <col min="14335" max="14336" width="13.86328125" style="4" bestFit="1" customWidth="1"/>
    <col min="14337" max="14337" width="14.86328125" style="4" bestFit="1" customWidth="1"/>
    <col min="14338" max="14338" width="12.1328125" style="4" bestFit="1" customWidth="1"/>
    <col min="14339" max="14339" width="12.3984375" style="4" bestFit="1" customWidth="1"/>
    <col min="14340" max="14341" width="13.86328125" style="4" bestFit="1" customWidth="1"/>
    <col min="14342" max="14342" width="14.86328125" style="4" bestFit="1" customWidth="1"/>
    <col min="14343" max="14581" width="9.1328125" style="4"/>
    <col min="14582" max="14582" width="15.3984375" style="4" bestFit="1" customWidth="1"/>
    <col min="14583" max="14583" width="11.1328125" style="4" bestFit="1" customWidth="1"/>
    <col min="14584" max="14584" width="14.59765625" style="4" bestFit="1" customWidth="1"/>
    <col min="14585" max="14585" width="17.3984375" style="4" bestFit="1" customWidth="1"/>
    <col min="14586" max="14586" width="17.59765625" style="4" bestFit="1" customWidth="1"/>
    <col min="14587" max="14587" width="14.73046875" style="4" bestFit="1" customWidth="1"/>
    <col min="14588" max="14588" width="14.3984375" style="4" bestFit="1" customWidth="1"/>
    <col min="14589" max="14589" width="12.1328125" style="4" bestFit="1" customWidth="1"/>
    <col min="14590" max="14590" width="12.3984375" style="4" bestFit="1" customWidth="1"/>
    <col min="14591" max="14592" width="13.86328125" style="4" bestFit="1" customWidth="1"/>
    <col min="14593" max="14593" width="14.86328125" style="4" bestFit="1" customWidth="1"/>
    <col min="14594" max="14594" width="12.1328125" style="4" bestFit="1" customWidth="1"/>
    <col min="14595" max="14595" width="12.3984375" style="4" bestFit="1" customWidth="1"/>
    <col min="14596" max="14597" width="13.86328125" style="4" bestFit="1" customWidth="1"/>
    <col min="14598" max="14598" width="14.86328125" style="4" bestFit="1" customWidth="1"/>
    <col min="14599" max="14837" width="9.1328125" style="4"/>
    <col min="14838" max="14838" width="15.3984375" style="4" bestFit="1" customWidth="1"/>
    <col min="14839" max="14839" width="11.1328125" style="4" bestFit="1" customWidth="1"/>
    <col min="14840" max="14840" width="14.59765625" style="4" bestFit="1" customWidth="1"/>
    <col min="14841" max="14841" width="17.3984375" style="4" bestFit="1" customWidth="1"/>
    <col min="14842" max="14842" width="17.59765625" style="4" bestFit="1" customWidth="1"/>
    <col min="14843" max="14843" width="14.73046875" style="4" bestFit="1" customWidth="1"/>
    <col min="14844" max="14844" width="14.3984375" style="4" bestFit="1" customWidth="1"/>
    <col min="14845" max="14845" width="12.1328125" style="4" bestFit="1" customWidth="1"/>
    <col min="14846" max="14846" width="12.3984375" style="4" bestFit="1" customWidth="1"/>
    <col min="14847" max="14848" width="13.86328125" style="4" bestFit="1" customWidth="1"/>
    <col min="14849" max="14849" width="14.86328125" style="4" bestFit="1" customWidth="1"/>
    <col min="14850" max="14850" width="12.1328125" style="4" bestFit="1" customWidth="1"/>
    <col min="14851" max="14851" width="12.3984375" style="4" bestFit="1" customWidth="1"/>
    <col min="14852" max="14853" width="13.86328125" style="4" bestFit="1" customWidth="1"/>
    <col min="14854" max="14854" width="14.86328125" style="4" bestFit="1" customWidth="1"/>
    <col min="14855" max="15093" width="9.1328125" style="4"/>
    <col min="15094" max="15094" width="15.3984375" style="4" bestFit="1" customWidth="1"/>
    <col min="15095" max="15095" width="11.1328125" style="4" bestFit="1" customWidth="1"/>
    <col min="15096" max="15096" width="14.59765625" style="4" bestFit="1" customWidth="1"/>
    <col min="15097" max="15097" width="17.3984375" style="4" bestFit="1" customWidth="1"/>
    <col min="15098" max="15098" width="17.59765625" style="4" bestFit="1" customWidth="1"/>
    <col min="15099" max="15099" width="14.73046875" style="4" bestFit="1" customWidth="1"/>
    <col min="15100" max="15100" width="14.3984375" style="4" bestFit="1" customWidth="1"/>
    <col min="15101" max="15101" width="12.1328125" style="4" bestFit="1" customWidth="1"/>
    <col min="15102" max="15102" width="12.3984375" style="4" bestFit="1" customWidth="1"/>
    <col min="15103" max="15104" width="13.86328125" style="4" bestFit="1" customWidth="1"/>
    <col min="15105" max="15105" width="14.86328125" style="4" bestFit="1" customWidth="1"/>
    <col min="15106" max="15106" width="12.1328125" style="4" bestFit="1" customWidth="1"/>
    <col min="15107" max="15107" width="12.3984375" style="4" bestFit="1" customWidth="1"/>
    <col min="15108" max="15109" width="13.86328125" style="4" bestFit="1" customWidth="1"/>
    <col min="15110" max="15110" width="14.86328125" style="4" bestFit="1" customWidth="1"/>
    <col min="15111" max="15349" width="9.1328125" style="4"/>
    <col min="15350" max="15350" width="15.3984375" style="4" bestFit="1" customWidth="1"/>
    <col min="15351" max="15351" width="11.1328125" style="4" bestFit="1" customWidth="1"/>
    <col min="15352" max="15352" width="14.59765625" style="4" bestFit="1" customWidth="1"/>
    <col min="15353" max="15353" width="17.3984375" style="4" bestFit="1" customWidth="1"/>
    <col min="15354" max="15354" width="17.59765625" style="4" bestFit="1" customWidth="1"/>
    <col min="15355" max="15355" width="14.73046875" style="4" bestFit="1" customWidth="1"/>
    <col min="15356" max="15356" width="14.3984375" style="4" bestFit="1" customWidth="1"/>
    <col min="15357" max="15357" width="12.1328125" style="4" bestFit="1" customWidth="1"/>
    <col min="15358" max="15358" width="12.3984375" style="4" bestFit="1" customWidth="1"/>
    <col min="15359" max="15360" width="13.86328125" style="4" bestFit="1" customWidth="1"/>
    <col min="15361" max="15361" width="14.86328125" style="4" bestFit="1" customWidth="1"/>
    <col min="15362" max="15362" width="12.1328125" style="4" bestFit="1" customWidth="1"/>
    <col min="15363" max="15363" width="12.3984375" style="4" bestFit="1" customWidth="1"/>
    <col min="15364" max="15365" width="13.86328125" style="4" bestFit="1" customWidth="1"/>
    <col min="15366" max="15366" width="14.86328125" style="4" bestFit="1" customWidth="1"/>
    <col min="15367" max="15605" width="9.1328125" style="4"/>
    <col min="15606" max="15606" width="15.3984375" style="4" bestFit="1" customWidth="1"/>
    <col min="15607" max="15607" width="11.1328125" style="4" bestFit="1" customWidth="1"/>
    <col min="15608" max="15608" width="14.59765625" style="4" bestFit="1" customWidth="1"/>
    <col min="15609" max="15609" width="17.3984375" style="4" bestFit="1" customWidth="1"/>
    <col min="15610" max="15610" width="17.59765625" style="4" bestFit="1" customWidth="1"/>
    <col min="15611" max="15611" width="14.73046875" style="4" bestFit="1" customWidth="1"/>
    <col min="15612" max="15612" width="14.3984375" style="4" bestFit="1" customWidth="1"/>
    <col min="15613" max="15613" width="12.1328125" style="4" bestFit="1" customWidth="1"/>
    <col min="15614" max="15614" width="12.3984375" style="4" bestFit="1" customWidth="1"/>
    <col min="15615" max="15616" width="13.86328125" style="4" bestFit="1" customWidth="1"/>
    <col min="15617" max="15617" width="14.86328125" style="4" bestFit="1" customWidth="1"/>
    <col min="15618" max="15618" width="12.1328125" style="4" bestFit="1" customWidth="1"/>
    <col min="15619" max="15619" width="12.3984375" style="4" bestFit="1" customWidth="1"/>
    <col min="15620" max="15621" width="13.86328125" style="4" bestFit="1" customWidth="1"/>
    <col min="15622" max="15622" width="14.86328125" style="4" bestFit="1" customWidth="1"/>
    <col min="15623" max="15861" width="9.1328125" style="4"/>
    <col min="15862" max="15862" width="15.3984375" style="4" bestFit="1" customWidth="1"/>
    <col min="15863" max="15863" width="11.1328125" style="4" bestFit="1" customWidth="1"/>
    <col min="15864" max="15864" width="14.59765625" style="4" bestFit="1" customWidth="1"/>
    <col min="15865" max="15865" width="17.3984375" style="4" bestFit="1" customWidth="1"/>
    <col min="15866" max="15866" width="17.59765625" style="4" bestFit="1" customWidth="1"/>
    <col min="15867" max="15867" width="14.73046875" style="4" bestFit="1" customWidth="1"/>
    <col min="15868" max="15868" width="14.3984375" style="4" bestFit="1" customWidth="1"/>
    <col min="15869" max="15869" width="12.1328125" style="4" bestFit="1" customWidth="1"/>
    <col min="15870" max="15870" width="12.3984375" style="4" bestFit="1" customWidth="1"/>
    <col min="15871" max="15872" width="13.86328125" style="4" bestFit="1" customWidth="1"/>
    <col min="15873" max="15873" width="14.86328125" style="4" bestFit="1" customWidth="1"/>
    <col min="15874" max="15874" width="12.1328125" style="4" bestFit="1" customWidth="1"/>
    <col min="15875" max="15875" width="12.3984375" style="4" bestFit="1" customWidth="1"/>
    <col min="15876" max="15877" width="13.86328125" style="4" bestFit="1" customWidth="1"/>
    <col min="15878" max="15878" width="14.86328125" style="4" bestFit="1" customWidth="1"/>
    <col min="15879" max="16117" width="9.1328125" style="4"/>
    <col min="16118" max="16118" width="15.3984375" style="4" bestFit="1" customWidth="1"/>
    <col min="16119" max="16119" width="11.1328125" style="4" bestFit="1" customWidth="1"/>
    <col min="16120" max="16120" width="14.59765625" style="4" bestFit="1" customWidth="1"/>
    <col min="16121" max="16121" width="17.3984375" style="4" bestFit="1" customWidth="1"/>
    <col min="16122" max="16122" width="17.59765625" style="4" bestFit="1" customWidth="1"/>
    <col min="16123" max="16123" width="14.73046875" style="4" bestFit="1" customWidth="1"/>
    <col min="16124" max="16124" width="14.3984375" style="4" bestFit="1" customWidth="1"/>
    <col min="16125" max="16125" width="12.1328125" style="4" bestFit="1" customWidth="1"/>
    <col min="16126" max="16126" width="12.3984375" style="4" bestFit="1" customWidth="1"/>
    <col min="16127" max="16128" width="13.86328125" style="4" bestFit="1" customWidth="1"/>
    <col min="16129" max="16129" width="14.86328125" style="4" bestFit="1" customWidth="1"/>
    <col min="16130" max="16130" width="12.1328125" style="4" bestFit="1" customWidth="1"/>
    <col min="16131" max="16131" width="12.3984375" style="4" bestFit="1" customWidth="1"/>
    <col min="16132" max="16133" width="13.86328125" style="4" bestFit="1" customWidth="1"/>
    <col min="16134" max="16134" width="14.86328125" style="4" bestFit="1" customWidth="1"/>
    <col min="16135" max="16384" width="9.1328125" style="4"/>
  </cols>
  <sheetData>
    <row r="1" spans="1:8">
      <c r="A1" s="57" t="s">
        <v>323</v>
      </c>
      <c r="B1" s="87" t="s">
        <v>324</v>
      </c>
      <c r="C1" s="58" t="s">
        <v>250</v>
      </c>
      <c r="D1" s="58" t="s">
        <v>251</v>
      </c>
      <c r="E1" s="58" t="s">
        <v>252</v>
      </c>
      <c r="F1" s="58" t="s">
        <v>253</v>
      </c>
      <c r="G1" s="58" t="s">
        <v>254</v>
      </c>
      <c r="H1" s="58" t="s">
        <v>255</v>
      </c>
    </row>
    <row r="2" spans="1:8">
      <c r="A2" s="60" t="s">
        <v>5</v>
      </c>
      <c r="B2" s="76" t="s">
        <v>6</v>
      </c>
      <c r="C2" s="61">
        <f>IFERROR((st_DL/(k_decay_w_state*Rad_Spec!V2*st_IFD_w*st_EF_w))*1,".")</f>
        <v>1.0677656153262893</v>
      </c>
      <c r="D2" s="61">
        <f>IFERROR((st_DL/(k_decay_w_state*Rad_Spec!AN2*st_IRA_w*(1/s_PEFm_pp_state)*st_SLF*st_ET_w*st_EF_w))*1,".")</f>
        <v>6.0938701901833842E-4</v>
      </c>
      <c r="E2" s="61">
        <f>IFERROR((st_DL/(k_decay_w_state*Rad_Spec!AN2*st_IRA_w*(1/s_PEF)*st_SLF*st_ET_w*st_EF_w))*1,".")</f>
        <v>5.6312577286435996E-2</v>
      </c>
      <c r="F2" s="61">
        <f>IFERROR((st_DL/(k_decay_w_state*Rad_Spec!AY2*st_GSF_s*st_Fam*st_Foffset*acf!H2*st_ET_w*(1/24)*st_EF_w*(1/365)))*1,".")</f>
        <v>1486.2088149753049</v>
      </c>
      <c r="G2" s="61">
        <f t="shared" ref="G2" si="0">(IF(AND(C2&lt;&gt;".",E2&lt;&gt;".",F2&lt;&gt;"."),1/((1/C2)+(1/E2)+(1/F2)),IF(AND(C2&lt;&gt;".",E2&lt;&gt;".",F2="."), 1/((1/C2)+(1/E2)),IF(AND(C2&lt;&gt;".",E2=".",F2&lt;&gt;"."),1/((1/C2)+(1/F2)),IF(AND(C2=".",E2&lt;&gt;".",F2&lt;&gt;"."),1/((1/E2)+(1/F2)),IF(AND(C2&lt;&gt;".",E2=".",F2="."),1/(1/C2),IF(AND(C2=".",E2&lt;&gt;".",F2="."),1/(1/E2),IF(AND(C2=".",E2=".",F2&lt;&gt;"."),1/(1/F2),IF(AND(C2=".",E2=".",F2="."),".")))))))))</f>
        <v>5.3489579341622295E-2</v>
      </c>
      <c r="H2" s="61">
        <f t="shared" ref="H2" si="1">(IF(AND(C2&lt;&gt;".",D2&lt;&gt;".",F2&lt;&gt;"."),1/((1/C2)+(1/D2)+(1/F2)),IF(AND(C2&lt;&gt;".",D2&lt;&gt;".",F2="."), 1/((1/C2)+(1/D2)),IF(AND(C2&lt;&gt;".",D2=".",F2&lt;&gt;"."),1/((1/C2)+(1/F2)),IF(AND(C2=".",D2&lt;&gt;".",F2&lt;&gt;"."),1/((1/D2)+(1/F2)),IF(AND(C2&lt;&gt;".",D2=".",F2="."),1/(1/C2),IF(AND(C2=".",D2&lt;&gt;".",F2="."),1/(1/D2),IF(AND(C2=".",D2=".",F2&lt;&gt;"."),1/(1/F2),IF(AND(C2=".",D2=".",F2="."),".")))))))))</f>
        <v>6.0903918311446589E-4</v>
      </c>
    </row>
    <row r="3" spans="1:8">
      <c r="A3" s="62" t="s">
        <v>7</v>
      </c>
      <c r="B3" s="76" t="s">
        <v>8</v>
      </c>
      <c r="C3" s="61">
        <f>IFERROR((st_DL/(k_decay_w_state*Rad_Spec!V3*st_IFD_w*st_EF_w))*1,".")</f>
        <v>0.20203800368428806</v>
      </c>
      <c r="D3" s="61">
        <f>IFERROR((st_DL/(k_decay_w_state*Rad_Spec!AN3*st_IRA_w*(1/s_PEFm_pp_state)*st_SLF*st_ET_w*st_EF_w))*1,".")</f>
        <v>5.702520728428486E-5</v>
      </c>
      <c r="E3" s="61">
        <f>IFERROR((st_DL/(k_decay_w_state*Rad_Spec!AN3*st_IRA_w*(1/s_PEF)*st_SLF*st_ET_w*st_EF_w))*1,".")</f>
        <v>5.2696173240518096E-3</v>
      </c>
      <c r="F3" s="61">
        <f>IFERROR((st_DL/(k_decay_w_state*Rad_Spec!AY3*st_GSF_s*st_Fam*st_Foffset*acf!H3*st_ET_w*(1/24)*st_EF_w*(1/365)))*1,".")</f>
        <v>895.65583753236285</v>
      </c>
      <c r="G3" s="61">
        <f t="shared" ref="G3" si="2">(IF(AND(C3&lt;&gt;".",E3&lt;&gt;".",F3&lt;&gt;"."),1/((1/C3)+(1/E3)+(1/F3)),IF(AND(C3&lt;&gt;".",E3&lt;&gt;".",F3="."), 1/((1/C3)+(1/E3)),IF(AND(C3&lt;&gt;".",E3=".",F3&lt;&gt;"."),1/((1/C3)+(1/F3)),IF(AND(C3=".",E3&lt;&gt;".",F3&lt;&gt;"."),1/((1/E3)+(1/F3)),IF(AND(C3&lt;&gt;".",E3=".",F3="."),1/(1/C3),IF(AND(C3=".",E3&lt;&gt;".",F3="."),1/(1/E3),IF(AND(C3=".",E3=".",F3&lt;&gt;"."),1/(1/F3),IF(AND(C3=".",E3=".",F3="."),".")))))))))</f>
        <v>5.1356378238212553E-3</v>
      </c>
      <c r="H3" s="61">
        <f t="shared" ref="H3" si="3">(IF(AND(C3&lt;&gt;".",D3&lt;&gt;".",F3&lt;&gt;"."),1/((1/C3)+(1/D3)+(1/F3)),IF(AND(C3&lt;&gt;".",D3&lt;&gt;".",F3="."), 1/((1/C3)+(1/D3)),IF(AND(C3&lt;&gt;".",D3=".",F3&lt;&gt;"."),1/((1/C3)+(1/F3)),IF(AND(C3=".",D3&lt;&gt;".",F3&lt;&gt;"."),1/((1/D3)+(1/F3)),IF(AND(C3&lt;&gt;".",D3=".",F3="."),1/(1/C3),IF(AND(C3=".",D3&lt;&gt;".",F3="."),1/(1/D3),IF(AND(C3=".",D3=".",F3&lt;&gt;"."),1/(1/F3),IF(AND(C3=".",D3=".",F3="."),".")))))))))</f>
        <v>5.7009112837925875E-5</v>
      </c>
    </row>
    <row r="4" spans="1:8">
      <c r="A4" s="60" t="s">
        <v>9</v>
      </c>
      <c r="B4" s="88" t="s">
        <v>6</v>
      </c>
      <c r="C4" s="61" t="str">
        <f>IFERROR((st_DL/(k_decay_w_state*Rad_Spec!V4*st_IFD_w*st_EF_w))*1,".")</f>
        <v>.</v>
      </c>
      <c r="D4" s="61" t="str">
        <f>IFERROR((st_DL/(k_decay_w_state*Rad_Spec!AN4*st_IRA_w*(1/s_PEFm_pp_state)*st_SLF*st_ET_w*st_EF_w))*1,".")</f>
        <v>.</v>
      </c>
      <c r="E4" s="61" t="str">
        <f>IFERROR((st_DL/(k_decay_w_state*Rad_Spec!AN4*st_IRA_w*(1/s_PEF)*st_SLF*st_ET_w*st_EF_w))*1,".")</f>
        <v>.</v>
      </c>
      <c r="F4" s="61">
        <f>IFERROR((st_DL/(k_decay_w_state*Rad_Spec!AY4*st_GSF_s*st_Fam*st_Foffset*acf!H4*st_ET_w*(1/24)*st_EF_w*(1/365)))*1,".")</f>
        <v>92752.517403910344</v>
      </c>
      <c r="G4" s="61">
        <f t="shared" ref="G4:G5" si="4">(IF(AND(C4&lt;&gt;".",E4&lt;&gt;".",F4&lt;&gt;"."),1/((1/C4)+(1/E4)+(1/F4)),IF(AND(C4&lt;&gt;".",E4&lt;&gt;".",F4="."), 1/((1/C4)+(1/E4)),IF(AND(C4&lt;&gt;".",E4=".",F4&lt;&gt;"."),1/((1/C4)+(1/F4)),IF(AND(C4=".",E4&lt;&gt;".",F4&lt;&gt;"."),1/((1/E4)+(1/F4)),IF(AND(C4&lt;&gt;".",E4=".",F4="."),1/(1/C4),IF(AND(C4=".",E4&lt;&gt;".",F4="."),1/(1/E4),IF(AND(C4=".",E4=".",F4&lt;&gt;"."),1/(1/F4),IF(AND(C4=".",E4=".",F4="."),".")))))))))</f>
        <v>92752.517403910344</v>
      </c>
      <c r="H4" s="61">
        <f t="shared" ref="H4:H5" si="5">(IF(AND(C4&lt;&gt;".",D4&lt;&gt;".",F4&lt;&gt;"."),1/((1/C4)+(1/D4)+(1/F4)),IF(AND(C4&lt;&gt;".",D4&lt;&gt;".",F4="."), 1/((1/C4)+(1/D4)),IF(AND(C4&lt;&gt;".",D4=".",F4&lt;&gt;"."),1/((1/C4)+(1/F4)),IF(AND(C4=".",D4&lt;&gt;".",F4&lt;&gt;"."),1/((1/D4)+(1/F4)),IF(AND(C4&lt;&gt;".",D4=".",F4="."),1/(1/C4),IF(AND(C4=".",D4&lt;&gt;".",F4="."),1/(1/D4),IF(AND(C4=".",D4=".",F4&lt;&gt;"."),1/(1/F4),IF(AND(C4=".",D4=".",F4="."),".")))))))))</f>
        <v>92752.517403910344</v>
      </c>
    </row>
    <row r="5" spans="1:8">
      <c r="A5" s="60" t="s">
        <v>10</v>
      </c>
      <c r="B5" s="88" t="s">
        <v>6</v>
      </c>
      <c r="C5" s="61" t="str">
        <f>IFERROR((st_DL/(k_decay_w_state*Rad_Spec!V5*st_IFD_w*st_EF_w))*1,".")</f>
        <v>.</v>
      </c>
      <c r="D5" s="61" t="str">
        <f>IFERROR((st_DL/(k_decay_w_state*Rad_Spec!AN5*st_IRA_w*(1/s_PEFm_pp_state)*st_SLF*st_ET_w*st_EF_w))*1,".")</f>
        <v>.</v>
      </c>
      <c r="E5" s="61" t="str">
        <f>IFERROR((st_DL/(k_decay_w_state*Rad_Spec!AN5*st_IRA_w*(1/s_PEF)*st_SLF*st_ET_w*st_EF_w))*1,".")</f>
        <v>.</v>
      </c>
      <c r="F5" s="61">
        <f>IFERROR((st_DL/(k_decay_w_state*Rad_Spec!AY5*st_GSF_s*st_Fam*st_Foffset*acf!H5*st_ET_w*(1/24)*st_EF_w*(1/365)))*1,".")</f>
        <v>171096.37944148548</v>
      </c>
      <c r="G5" s="61">
        <f t="shared" si="4"/>
        <v>171096.37944148548</v>
      </c>
      <c r="H5" s="61">
        <f t="shared" si="5"/>
        <v>171096.37944148548</v>
      </c>
    </row>
    <row r="6" spans="1:8">
      <c r="A6" s="60" t="s">
        <v>11</v>
      </c>
      <c r="B6" s="88" t="s">
        <v>6</v>
      </c>
      <c r="C6" s="61" t="str">
        <f>IFERROR((st_DL/(k_decay_w_state*Rad_Spec!V6*st_IFD_w*st_EF_w))*1,".")</f>
        <v>.</v>
      </c>
      <c r="D6" s="61" t="str">
        <f>IFERROR((st_DL/(k_decay_w_state*Rad_Spec!AN6*st_IRA_w*(1/s_PEFm_pp_state)*st_SLF*st_ET_w*st_EF_w))*1,".")</f>
        <v>.</v>
      </c>
      <c r="E6" s="61" t="str">
        <f>IFERROR((st_DL/(k_decay_w_state*Rad_Spec!AN6*st_IRA_w*(1/s_PEF)*st_SLF*st_ET_w*st_EF_w))*1,".")</f>
        <v>.</v>
      </c>
      <c r="F6" s="61">
        <f>IFERROR((st_DL/(k_decay_w_state*Rad_Spec!AY6*st_GSF_s*st_Fam*st_Foffset*acf!H6*st_ET_w*(1/24)*st_EF_w*(1/365)))*1,".")</f>
        <v>37.636185319084291</v>
      </c>
      <c r="G6" s="61">
        <f t="shared" ref="G6" si="6">(IF(AND(C6&lt;&gt;".",E6&lt;&gt;".",F6&lt;&gt;"."),1/((1/C6)+(1/E6)+(1/F6)),IF(AND(C6&lt;&gt;".",E6&lt;&gt;".",F6="."), 1/((1/C6)+(1/E6)),IF(AND(C6&lt;&gt;".",E6=".",F6&lt;&gt;"."),1/((1/C6)+(1/F6)),IF(AND(C6=".",E6&lt;&gt;".",F6&lt;&gt;"."),1/((1/E6)+(1/F6)),IF(AND(C6&lt;&gt;".",E6=".",F6="."),1/(1/C6),IF(AND(C6=".",E6&lt;&gt;".",F6="."),1/(1/E6),IF(AND(C6=".",E6=".",F6&lt;&gt;"."),1/(1/F6),IF(AND(C6=".",E6=".",F6="."),".")))))))))</f>
        <v>37.636185319084291</v>
      </c>
      <c r="H6" s="61">
        <f t="shared" ref="H6" si="7">(IF(AND(C6&lt;&gt;".",D6&lt;&gt;".",F6&lt;&gt;"."),1/((1/C6)+(1/D6)+(1/F6)),IF(AND(C6&lt;&gt;".",D6&lt;&gt;".",F6="."), 1/((1/C6)+(1/D6)),IF(AND(C6&lt;&gt;".",D6=".",F6&lt;&gt;"."),1/((1/C6)+(1/F6)),IF(AND(C6=".",D6&lt;&gt;".",F6&lt;&gt;"."),1/((1/D6)+(1/F6)),IF(AND(C6&lt;&gt;".",D6=".",F6="."),1/(1/C6),IF(AND(C6=".",D6&lt;&gt;".",F6="."),1/(1/D6),IF(AND(C6=".",D6=".",F6&lt;&gt;"."),1/(1/F6),IF(AND(C6=".",D6=".",F6="."),".")))))))))</f>
        <v>37.636185319084291</v>
      </c>
    </row>
    <row r="7" spans="1:8">
      <c r="A7" s="60" t="s">
        <v>12</v>
      </c>
      <c r="B7" s="88" t="s">
        <v>6</v>
      </c>
      <c r="C7" s="61">
        <f>IFERROR((st_DL/(k_decay_w_state*Rad_Spec!V7*st_IFD_w*st_EF_w))*1,".")</f>
        <v>31.462406680606691</v>
      </c>
      <c r="D7" s="61">
        <f>IFERROR((st_DL/(k_decay_w_state*Rad_Spec!AN7*st_IRA_w*(1/s_PEFm_pp_state)*st_SLF*st_ET_w*st_EF_w))*1,".")</f>
        <v>3.8316252291700999E-2</v>
      </c>
      <c r="E7" s="61">
        <f>IFERROR((st_DL/(k_decay_w_state*Rad_Spec!AN7*st_IRA_w*(1/s_PEF)*st_SLF*st_ET_w*st_EF_w))*1,".")</f>
        <v>3.5407497225307019</v>
      </c>
      <c r="F7" s="61">
        <f>IFERROR((st_DL/(k_decay_w_state*Rad_Spec!AY7*st_GSF_s*st_Fam*st_Foffset*acf!H7*st_ET_w*(1/24)*st_EF_w*(1/365)))*1,".")</f>
        <v>602.63790578680334</v>
      </c>
      <c r="G7" s="61">
        <f t="shared" ref="G7:G9" si="8">(IF(AND(C7&lt;&gt;".",E7&lt;&gt;".",F7&lt;&gt;"."),1/((1/C7)+(1/E7)+(1/F7)),IF(AND(C7&lt;&gt;".",E7&lt;&gt;".",F7="."), 1/((1/C7)+(1/E7)),IF(AND(C7&lt;&gt;".",E7=".",F7&lt;&gt;"."),1/((1/C7)+(1/F7)),IF(AND(C7=".",E7&lt;&gt;".",F7&lt;&gt;"."),1/((1/E7)+(1/F7)),IF(AND(C7&lt;&gt;".",E7=".",F7="."),1/(1/C7),IF(AND(C7=".",E7&lt;&gt;".",F7="."),1/(1/E7),IF(AND(C7=".",E7=".",F7&lt;&gt;"."),1/(1/F7),IF(AND(C7=".",E7=".",F7="."),".")))))))))</f>
        <v>3.1658654162343214</v>
      </c>
      <c r="H7" s="61">
        <f t="shared" ref="H7:H9" si="9">(IF(AND(C7&lt;&gt;".",D7&lt;&gt;".",F7&lt;&gt;"."),1/((1/C7)+(1/D7)+(1/F7)),IF(AND(C7&lt;&gt;".",D7&lt;&gt;".",F7="."), 1/((1/C7)+(1/D7)),IF(AND(C7&lt;&gt;".",D7=".",F7&lt;&gt;"."),1/((1/C7)+(1/F7)),IF(AND(C7=".",D7&lt;&gt;".",F7&lt;&gt;"."),1/((1/D7)+(1/F7)),IF(AND(C7&lt;&gt;".",D7=".",F7="."),1/(1/C7),IF(AND(C7=".",D7&lt;&gt;".",F7="."),1/(1/D7),IF(AND(C7=".",D7=".",F7&lt;&gt;"."),1/(1/F7),IF(AND(C7=".",D7=".",F7="."),".")))))))))</f>
        <v>3.8267215790969984E-2</v>
      </c>
    </row>
    <row r="8" spans="1:8">
      <c r="A8" s="60" t="s">
        <v>13</v>
      </c>
      <c r="B8" s="88" t="s">
        <v>6</v>
      </c>
      <c r="C8" s="61">
        <f>IFERROR((st_DL/(k_decay_w_state*Rad_Spec!V8*st_IFD_w*st_EF_w))*1,".")</f>
        <v>208.16036743229679</v>
      </c>
      <c r="D8" s="61">
        <f>IFERROR((st_DL/(k_decay_w_state*Rad_Spec!AN8*st_IRA_w*(1/s_PEFm_pp_state)*st_SLF*st_ET_w*st_EF_w))*1,".")</f>
        <v>0.15758233336868582</v>
      </c>
      <c r="E8" s="61">
        <f>IFERROR((st_DL/(k_decay_w_state*Rad_Spec!AN8*st_IRA_w*(1/s_PEF)*st_SLF*st_ET_w*st_EF_w))*1,".")</f>
        <v>14.561956605337539</v>
      </c>
      <c r="F8" s="61">
        <f>IFERROR((st_DL/(k_decay_w_state*Rad_Spec!AY8*st_GSF_s*st_Fam*st_Foffset*acf!H8*st_ET_w*(1/24)*st_EF_w*(1/365)))*1,".")</f>
        <v>132.3343252350661</v>
      </c>
      <c r="G8" s="61">
        <f t="shared" si="8"/>
        <v>12.340697447492239</v>
      </c>
      <c r="H8" s="61">
        <f t="shared" si="9"/>
        <v>0.15727598910970811</v>
      </c>
    </row>
    <row r="9" spans="1:8">
      <c r="A9" s="60" t="s">
        <v>14</v>
      </c>
      <c r="B9" s="88" t="s">
        <v>6</v>
      </c>
      <c r="C9" s="61">
        <f>IFERROR((st_DL/(k_decay_w_state*Rad_Spec!V9*st_IFD_w*st_EF_w))*1,".")</f>
        <v>367.99779242495327</v>
      </c>
      <c r="D9" s="61">
        <f>IFERROR((st_DL/(k_decay_w_state*Rad_Spec!AN9*st_IRA_w*(1/s_PEFm_pp_state)*st_SLF*st_ET_w*st_EF_w))*1,".")</f>
        <v>0.56553113355128104</v>
      </c>
      <c r="E9" s="61">
        <f>IFERROR((st_DL/(k_decay_w_state*Rad_Spec!AN9*st_IRA_w*(1/s_PEF)*st_SLF*st_ET_w*st_EF_w))*1,".")</f>
        <v>52.259918035822011</v>
      </c>
      <c r="F9" s="61">
        <f>IFERROR((st_DL/(k_decay_w_state*Rad_Spec!AY9*st_GSF_s*st_Fam*st_Foffset*acf!H9*st_ET_w*(1/24)*st_EF_w*(1/365)))*1,".")</f>
        <v>15.655267807455905</v>
      </c>
      <c r="G9" s="61">
        <f t="shared" si="8"/>
        <v>11.664692243470245</v>
      </c>
      <c r="H9" s="61">
        <f t="shared" si="9"/>
        <v>0.54500578308693548</v>
      </c>
    </row>
    <row r="10" spans="1:8">
      <c r="A10" s="62" t="s">
        <v>15</v>
      </c>
      <c r="B10" s="88" t="s">
        <v>8</v>
      </c>
      <c r="C10" s="61">
        <f>IFERROR((st_DL/(k_decay_w_state*Rad_Spec!V10*st_IFD_w*st_EF_w))*1,".")</f>
        <v>3.0305700552643211</v>
      </c>
      <c r="D10" s="61">
        <f>IFERROR((st_DL/(k_decay_w_state*Rad_Spec!AN10*st_IRA_w*(1/s_PEFm_pp_state)*st_SLF*st_ET_w*st_EF_w))*1,".")</f>
        <v>0.13415282576950471</v>
      </c>
      <c r="E10" s="61">
        <f>IFERROR((st_DL/(k_decay_w_state*Rad_Spec!AN10*st_IRA_w*(1/s_PEF)*st_SLF*st_ET_w*st_EF_w))*1,".")</f>
        <v>12.396869532121885</v>
      </c>
      <c r="F10" s="61">
        <f>IFERROR((st_DL/(k_decay_w_state*Rad_Spec!AY10*st_GSF_s*st_Fam*st_Foffset*acf!H10*st_ET_w*(1/24)*st_EF_w*(1/365)))*1,".")</f>
        <v>6793.5705919613638</v>
      </c>
      <c r="G10" s="61">
        <f t="shared" ref="G10" si="10">(IF(AND(C10&lt;&gt;".",E10&lt;&gt;".",F10&lt;&gt;"."),1/((1/C10)+(1/E10)+(1/F10)),IF(AND(C10&lt;&gt;".",E10&lt;&gt;".",F10="."), 1/((1/C10)+(1/E10)),IF(AND(C10&lt;&gt;".",E10=".",F10&lt;&gt;"."),1/((1/C10)+(1/F10)),IF(AND(C10=".",E10&lt;&gt;".",F10&lt;&gt;"."),1/((1/E10)+(1/F10)),IF(AND(C10&lt;&gt;".",E10=".",F10="."),1/(1/C10),IF(AND(C10=".",E10&lt;&gt;".",F10="."),1/(1/E10),IF(AND(C10=".",E10=".",F10&lt;&gt;"."),1/(1/F10),IF(AND(C10=".",E10=".",F10="."),".")))))))))</f>
        <v>2.4343714904117131</v>
      </c>
      <c r="H10" s="61">
        <f t="shared" ref="H10" si="11">(IF(AND(C10&lt;&gt;".",D10&lt;&gt;".",F10&lt;&gt;"."),1/((1/C10)+(1/D10)+(1/F10)),IF(AND(C10&lt;&gt;".",D10&lt;&gt;".",F10="."), 1/((1/C10)+(1/D10)),IF(AND(C10&lt;&gt;".",D10=".",F10&lt;&gt;"."),1/((1/C10)+(1/F10)),IF(AND(C10=".",D10&lt;&gt;".",F10&lt;&gt;"."),1/((1/D10)+(1/F10)),IF(AND(C10&lt;&gt;".",D10=".",F10="."),1/(1/C10),IF(AND(C10=".",D10&lt;&gt;".",F10="."),1/(1/D10),IF(AND(C10=".",D10=".",F10&lt;&gt;"."),1/(1/F10),IF(AND(C10=".",D10=".",F10="."),".")))))))))</f>
        <v>0.12846364879769254</v>
      </c>
    </row>
    <row r="11" spans="1:8">
      <c r="A11" s="60" t="s">
        <v>16</v>
      </c>
      <c r="B11" s="88" t="s">
        <v>6</v>
      </c>
      <c r="C11" s="61" t="str">
        <f>IFERROR((st_DL/(k_decay_w_state*Rad_Spec!V11*st_IFD_w*st_EF_w))*1,".")</f>
        <v>.</v>
      </c>
      <c r="D11" s="61" t="str">
        <f>IFERROR((st_DL/(k_decay_w_state*Rad_Spec!AN11*st_IRA_w*(1/s_PEFm_pp_state)*st_SLF*st_ET_w*st_EF_w))*1,".")</f>
        <v>.</v>
      </c>
      <c r="E11" s="61" t="str">
        <f>IFERROR((st_DL/(k_decay_w_state*Rad_Spec!AN11*st_IRA_w*(1/s_PEF)*st_SLF*st_ET_w*st_EF_w))*1,".")</f>
        <v>.</v>
      </c>
      <c r="F11" s="61">
        <f>IFERROR((st_DL/(k_decay_w_state*Rad_Spec!AY11*st_GSF_s*st_Fam*st_Foffset*acf!H11*st_ET_w*(1/24)*st_EF_w*(1/365)))*1,".")</f>
        <v>771.45425500379372</v>
      </c>
      <c r="G11" s="61">
        <f t="shared" ref="G11" si="12">(IF(AND(C11&lt;&gt;".",E11&lt;&gt;".",F11&lt;&gt;"."),1/((1/C11)+(1/E11)+(1/F11)),IF(AND(C11&lt;&gt;".",E11&lt;&gt;".",F11="."), 1/((1/C11)+(1/E11)),IF(AND(C11&lt;&gt;".",E11=".",F11&lt;&gt;"."),1/((1/C11)+(1/F11)),IF(AND(C11=".",E11&lt;&gt;".",F11&lt;&gt;"."),1/((1/E11)+(1/F11)),IF(AND(C11&lt;&gt;".",E11=".",F11="."),1/(1/C11),IF(AND(C11=".",E11&lt;&gt;".",F11="."),1/(1/E11),IF(AND(C11=".",E11=".",F11&lt;&gt;"."),1/(1/F11),IF(AND(C11=".",E11=".",F11="."),".")))))))))</f>
        <v>771.45425500379383</v>
      </c>
      <c r="H11" s="61">
        <f t="shared" ref="H11" si="13">(IF(AND(C11&lt;&gt;".",D11&lt;&gt;".",F11&lt;&gt;"."),1/((1/C11)+(1/D11)+(1/F11)),IF(AND(C11&lt;&gt;".",D11&lt;&gt;".",F11="."), 1/((1/C11)+(1/D11)),IF(AND(C11&lt;&gt;".",D11=".",F11&lt;&gt;"."),1/((1/C11)+(1/F11)),IF(AND(C11=".",D11&lt;&gt;".",F11&lt;&gt;"."),1/((1/D11)+(1/F11)),IF(AND(C11&lt;&gt;".",D11=".",F11="."),1/(1/C11),IF(AND(C11=".",D11&lt;&gt;".",F11="."),1/(1/D11),IF(AND(C11=".",D11=".",F11&lt;&gt;"."),1/(1/F11),IF(AND(C11=".",D11=".",F11="."),".")))))))))</f>
        <v>771.45425500379383</v>
      </c>
    </row>
    <row r="12" spans="1:8">
      <c r="A12" s="60" t="s">
        <v>17</v>
      </c>
      <c r="B12" s="88" t="s">
        <v>6</v>
      </c>
      <c r="C12" s="61" t="str">
        <f>IFERROR((st_DL/(k_decay_w_state*Rad_Spec!V12*st_IFD_w*st_EF_w))*1,".")</f>
        <v>.</v>
      </c>
      <c r="D12" s="61" t="str">
        <f>IFERROR((st_DL/(k_decay_w_state*Rad_Spec!AN12*st_IRA_w*(1/s_PEFm_pp_state)*st_SLF*st_ET_w*st_EF_w))*1,".")</f>
        <v>.</v>
      </c>
      <c r="E12" s="61" t="str">
        <f>IFERROR((st_DL/(k_decay_w_state*Rad_Spec!AN12*st_IRA_w*(1/s_PEF)*st_SLF*st_ET_w*st_EF_w))*1,".")</f>
        <v>.</v>
      </c>
      <c r="F12" s="61">
        <f>IFERROR((st_DL/(k_decay_w_state*Rad_Spec!AY12*st_GSF_s*st_Fam*st_Foffset*acf!H12*st_ET_w*(1/24)*st_EF_w*(1/365)))*1,".")</f>
        <v>143.24429795042875</v>
      </c>
      <c r="G12" s="61">
        <f t="shared" ref="G12" si="14">(IF(AND(C12&lt;&gt;".",E12&lt;&gt;".",F12&lt;&gt;"."),1/((1/C12)+(1/E12)+(1/F12)),IF(AND(C12&lt;&gt;".",E12&lt;&gt;".",F12="."), 1/((1/C12)+(1/E12)),IF(AND(C12&lt;&gt;".",E12=".",F12&lt;&gt;"."),1/((1/C12)+(1/F12)),IF(AND(C12=".",E12&lt;&gt;".",F12&lt;&gt;"."),1/((1/E12)+(1/F12)),IF(AND(C12&lt;&gt;".",E12=".",F12="."),1/(1/C12),IF(AND(C12=".",E12&lt;&gt;".",F12="."),1/(1/E12),IF(AND(C12=".",E12=".",F12&lt;&gt;"."),1/(1/F12),IF(AND(C12=".",E12=".",F12="."),".")))))))))</f>
        <v>143.24429795042875</v>
      </c>
      <c r="H12" s="61">
        <f t="shared" ref="H12" si="15">(IF(AND(C12&lt;&gt;".",D12&lt;&gt;".",F12&lt;&gt;"."),1/((1/C12)+(1/D12)+(1/F12)),IF(AND(C12&lt;&gt;".",D12&lt;&gt;".",F12="."), 1/((1/C12)+(1/D12)),IF(AND(C12&lt;&gt;".",D12=".",F12&lt;&gt;"."),1/((1/C12)+(1/F12)),IF(AND(C12=".",D12&lt;&gt;".",F12&lt;&gt;"."),1/((1/D12)+(1/F12)),IF(AND(C12&lt;&gt;".",D12=".",F12="."),1/(1/C12),IF(AND(C12=".",D12&lt;&gt;".",F12="."),1/(1/D12),IF(AND(C12=".",D12=".",F12&lt;&gt;"."),1/(1/F12),IF(AND(C12=".",D12=".",F12="."),".")))))))))</f>
        <v>143.24429795042875</v>
      </c>
    </row>
    <row r="13" spans="1:8">
      <c r="A13" s="60" t="s">
        <v>18</v>
      </c>
      <c r="B13" s="88" t="s">
        <v>6</v>
      </c>
      <c r="C13" s="61">
        <f>IFERROR((st_DL/(k_decay_w_state*Rad_Spec!V13*st_IFD_w*st_EF_w))*1,".")</f>
        <v>0.38519395094948383</v>
      </c>
      <c r="D13" s="61">
        <f>IFERROR((st_DL/(k_decay_w_state*Rad_Spec!AN13*st_IRA_w*(1/s_PEFm_pp_state)*st_SLF*st_ET_w*st_EF_w))*1,".")</f>
        <v>4.4398197099907507E-4</v>
      </c>
      <c r="E13" s="61">
        <f>IFERROR((st_DL/(k_decay_w_state*Rad_Spec!AN13*st_IRA_w*(1/s_PEF)*st_SLF*st_ET_w*st_EF_w))*1,".")</f>
        <v>4.1027734880117663E-2</v>
      </c>
      <c r="F13" s="61">
        <f>IFERROR((st_DL/(k_decay_w_state*Rad_Spec!AY13*st_GSF_s*st_Fam*st_Foffset*acf!H13*st_ET_w*(1/24)*st_EF_w*(1/365)))*1,".")</f>
        <v>797.08386298463518</v>
      </c>
      <c r="G13" s="61">
        <f t="shared" ref="G13:G24" si="16">(IF(AND(C13&lt;&gt;".",E13&lt;&gt;".",F13&lt;&gt;"."),1/((1/C13)+(1/E13)+(1/F13)),IF(AND(C13&lt;&gt;".",E13&lt;&gt;".",F13="."), 1/((1/C13)+(1/E13)),IF(AND(C13&lt;&gt;".",E13=".",F13&lt;&gt;"."),1/((1/C13)+(1/F13)),IF(AND(C13=".",E13&lt;&gt;".",F13&lt;&gt;"."),1/((1/E13)+(1/F13)),IF(AND(C13&lt;&gt;".",E13=".",F13="."),1/(1/C13),IF(AND(C13=".",E13&lt;&gt;".",F13="."),1/(1/E13),IF(AND(C13=".",E13=".",F13&lt;&gt;"."),1/(1/F13),IF(AND(C13=".",E13=".",F13="."),".")))))))))</f>
        <v>3.7076715496058878E-2</v>
      </c>
      <c r="H13" s="61">
        <f t="shared" ref="H13:H24" si="17">(IF(AND(C13&lt;&gt;".",D13&lt;&gt;".",F13&lt;&gt;"."),1/((1/C13)+(1/D13)+(1/F13)),IF(AND(C13&lt;&gt;".",D13&lt;&gt;".",F13="."), 1/((1/C13)+(1/D13)),IF(AND(C13&lt;&gt;".",D13=".",F13&lt;&gt;"."),1/((1/C13)+(1/F13)),IF(AND(C13=".",D13&lt;&gt;".",F13&lt;&gt;"."),1/((1/D13)+(1/F13)),IF(AND(C13&lt;&gt;".",D13=".",F13="."),1/(1/C13),IF(AND(C13=".",D13&lt;&gt;".",F13="."),1/(1/D13),IF(AND(C13=".",D13=".",F13&lt;&gt;"."),1/(1/F13),IF(AND(C13=".",D13=".",F13="."),".")))))))))</f>
        <v>4.4347057125586212E-4</v>
      </c>
    </row>
    <row r="14" spans="1:8">
      <c r="A14" s="60" t="s">
        <v>19</v>
      </c>
      <c r="B14" s="88" t="s">
        <v>6</v>
      </c>
      <c r="C14" s="61">
        <f>IFERROR((st_DL/(k_decay_w_state*Rad_Spec!V14*st_IFD_w*st_EF_w))*1,".")</f>
        <v>42.666410715936614</v>
      </c>
      <c r="D14" s="61">
        <f>IFERROR((st_DL/(k_decay_w_state*Rad_Spec!AN14*st_IRA_w*(1/s_PEFm_pp_state)*st_SLF*st_ET_w*st_EF_w))*1,".")</f>
        <v>1.226792288286918</v>
      </c>
      <c r="E14" s="61">
        <f>IFERROR((st_DL/(k_decay_w_state*Rad_Spec!AN14*st_IRA_w*(1/s_PEF)*st_SLF*st_ET_w*st_EF_w))*1,".")</f>
        <v>113.36610953716723</v>
      </c>
      <c r="F14" s="61">
        <f>IFERROR((st_DL/(k_decay_w_state*Rad_Spec!AY14*st_GSF_s*st_Fam*st_Foffset*acf!H14*st_ET_w*(1/24)*st_EF_w*(1/365)))*1,".")</f>
        <v>102.23696868699537</v>
      </c>
      <c r="G14" s="61">
        <f t="shared" si="16"/>
        <v>23.786973397054933</v>
      </c>
      <c r="H14" s="61">
        <f t="shared" si="17"/>
        <v>1.1787549423939192</v>
      </c>
    </row>
    <row r="15" spans="1:8">
      <c r="A15" s="60" t="s">
        <v>20</v>
      </c>
      <c r="B15" s="88" t="s">
        <v>6</v>
      </c>
      <c r="C15" s="61">
        <f>IFERROR((st_DL/(k_decay_w_state*Rad_Spec!V15*st_IFD_w*st_EF_w))*1,".")</f>
        <v>726.90921960484604</v>
      </c>
      <c r="D15" s="61">
        <f>IFERROR((st_DL/(k_decay_w_state*Rad_Spec!AN15*st_IRA_w*(1/s_PEFm_pp_state)*st_SLF*st_ET_w*st_EF_w))*1,".")</f>
        <v>80.145742615878902</v>
      </c>
      <c r="E15" s="61">
        <f>IFERROR((st_DL/(k_decay_w_state*Rad_Spec!AN15*st_IRA_w*(1/s_PEF)*st_SLF*st_ET_w*st_EF_w))*1,".")</f>
        <v>7406.1527147490351</v>
      </c>
      <c r="F15" s="61">
        <f>IFERROR((st_DL/(k_decay_w_state*Rad_Spec!AY15*st_GSF_s*st_Fam*st_Foffset*acf!H15*st_ET_w*(1/24)*st_EF_w*(1/365)))*1,".")</f>
        <v>6704.403583130309</v>
      </c>
      <c r="G15" s="61">
        <f t="shared" si="16"/>
        <v>602.45820917414596</v>
      </c>
      <c r="H15" s="61">
        <f t="shared" si="17"/>
        <v>71.41779537126591</v>
      </c>
    </row>
    <row r="16" spans="1:8">
      <c r="A16" s="62" t="s">
        <v>21</v>
      </c>
      <c r="B16" s="88" t="s">
        <v>6</v>
      </c>
      <c r="C16" s="61">
        <f>IFERROR((st_DL/(k_decay_w_state*Rad_Spec!V16*st_IFD_w*st_EF_w))*1,".")</f>
        <v>5.9218035562636162E-2</v>
      </c>
      <c r="D16" s="61">
        <f>IFERROR((st_DL/(k_decay_w_state*Rad_Spec!AN16*st_IRA_w*(1/s_PEFm_pp_state)*st_SLF*st_ET_w*st_EF_w))*1,".")</f>
        <v>9.2772352149060459E-4</v>
      </c>
      <c r="E16" s="61">
        <f>IFERROR((st_DL/(k_decay_w_state*Rad_Spec!AN16*st_IRA_w*(1/s_PEF)*st_SLF*st_ET_w*st_EF_w))*1,".")</f>
        <v>8.5729595271887643E-2</v>
      </c>
      <c r="F16" s="61">
        <f>IFERROR((st_DL/(k_decay_w_state*Rad_Spec!AY16*st_GSF_s*st_Fam*st_Foffset*acf!H16*st_ET_w*(1/24)*st_EF_w*(1/365)))*1,".")</f>
        <v>8870.2040033028225</v>
      </c>
      <c r="G16" s="61">
        <f t="shared" si="16"/>
        <v>3.5024499169569026E-2</v>
      </c>
      <c r="H16" s="61">
        <f t="shared" si="17"/>
        <v>9.134136748331314E-4</v>
      </c>
    </row>
    <row r="17" spans="1:8">
      <c r="A17" s="60" t="s">
        <v>22</v>
      </c>
      <c r="B17" s="88" t="s">
        <v>6</v>
      </c>
      <c r="C17" s="61">
        <f>IFERROR((st_DL/(k_decay_w_state*Rad_Spec!V17*st_IFD_w*st_EF_w))*1,".")</f>
        <v>296.5162068460055</v>
      </c>
      <c r="D17" s="61">
        <f>IFERROR((st_DL/(k_decay_w_state*Rad_Spec!AN17*st_IRA_w*(1/s_PEFm_pp_state)*st_SLF*st_ET_w*st_EF_w))*1,".")</f>
        <v>0.44417252120122069</v>
      </c>
      <c r="E17" s="61">
        <f>IFERROR((st_DL/(k_decay_w_state*Rad_Spec!AN17*st_IRA_w*(1/s_PEF)*st_SLF*st_ET_w*st_EF_w))*1,".")</f>
        <v>41.045343350023302</v>
      </c>
      <c r="F17" s="61">
        <f>IFERROR((st_DL/(k_decay_w_state*Rad_Spec!AY17*st_GSF_s*st_Fam*st_Foffset*acf!H17*st_ET_w*(1/24)*st_EF_w*(1/365)))*1,".")</f>
        <v>87.848031442784162</v>
      </c>
      <c r="G17" s="61">
        <f t="shared" si="16"/>
        <v>25.562966202293659</v>
      </c>
      <c r="H17" s="61">
        <f t="shared" si="17"/>
        <v>0.44128031835638981</v>
      </c>
    </row>
    <row r="18" spans="1:8">
      <c r="A18" s="60" t="s">
        <v>23</v>
      </c>
      <c r="B18" s="88" t="s">
        <v>6</v>
      </c>
      <c r="C18" s="61">
        <f>IFERROR((st_DL/(k_decay_w_state*Rad_Spec!V18*st_IFD_w*st_EF_w))*1,".")</f>
        <v>3.4062605579830388E-2</v>
      </c>
      <c r="D18" s="61">
        <f>IFERROR((st_DL/(k_decay_w_state*Rad_Spec!AN18*st_IRA_w*(1/s_PEFm_pp_state)*st_SLF*st_ET_w*st_EF_w))*1,".")</f>
        <v>1.1953360757667405E-3</v>
      </c>
      <c r="E18" s="61">
        <f>IFERROR((st_DL/(k_decay_w_state*Rad_Spec!AN18*st_IRA_w*(1/s_PEF)*st_SLF*st_ET_w*st_EF_w))*1,".")</f>
        <v>0.11045928621570139</v>
      </c>
      <c r="F18" s="61">
        <f>IFERROR((st_DL/(k_decay_w_state*Rad_Spec!AY18*st_GSF_s*st_Fam*st_Foffset*acf!H18*st_ET_w*(1/24)*st_EF_w*(1/365)))*1,".")</f>
        <v>2368705.6118447762</v>
      </c>
      <c r="G18" s="61">
        <f t="shared" si="16"/>
        <v>2.6034333005856454E-2</v>
      </c>
      <c r="H18" s="61">
        <f t="shared" si="17"/>
        <v>1.1548110681574848E-3</v>
      </c>
    </row>
    <row r="19" spans="1:8">
      <c r="A19" s="60" t="s">
        <v>24</v>
      </c>
      <c r="B19" s="88" t="s">
        <v>6</v>
      </c>
      <c r="C19" s="61" t="str">
        <f>IFERROR((st_DL/(k_decay_w_state*Rad_Spec!V19*st_IFD_w*st_EF_w))*1,".")</f>
        <v>.</v>
      </c>
      <c r="D19" s="61" t="str">
        <f>IFERROR((st_DL/(k_decay_w_state*Rad_Spec!AN19*st_IRA_w*(1/s_PEFm_pp_state)*st_SLF*st_ET_w*st_EF_w))*1,".")</f>
        <v>.</v>
      </c>
      <c r="E19" s="61" t="str">
        <f>IFERROR((st_DL/(k_decay_w_state*Rad_Spec!AN19*st_IRA_w*(1/s_PEF)*st_SLF*st_ET_w*st_EF_w))*1,".")</f>
        <v>.</v>
      </c>
      <c r="F19" s="61">
        <f>IFERROR((st_DL/(k_decay_w_state*Rad_Spec!AY19*st_GSF_s*st_Fam*st_Foffset*acf!H19*st_ET_w*(1/24)*st_EF_w*(1/365)))*1,".")</f>
        <v>612753.15739256318</v>
      </c>
      <c r="G19" s="61">
        <f t="shared" si="16"/>
        <v>612753.15739256318</v>
      </c>
      <c r="H19" s="61">
        <f t="shared" si="17"/>
        <v>612753.15739256318</v>
      </c>
    </row>
    <row r="20" spans="1:8">
      <c r="A20" s="60" t="s">
        <v>25</v>
      </c>
      <c r="B20" s="88" t="s">
        <v>6</v>
      </c>
      <c r="C20" s="61" t="str">
        <f>IFERROR((st_DL/(k_decay_w_state*Rad_Spec!V20*st_IFD_w*st_EF_w))*1,".")</f>
        <v>.</v>
      </c>
      <c r="D20" s="61" t="str">
        <f>IFERROR((st_DL/(k_decay_w_state*Rad_Spec!AN20*st_IRA_w*(1/s_PEFm_pp_state)*st_SLF*st_ET_w*st_EF_w))*1,".")</f>
        <v>.</v>
      </c>
      <c r="E20" s="61" t="str">
        <f>IFERROR((st_DL/(k_decay_w_state*Rad_Spec!AN20*st_IRA_w*(1/s_PEF)*st_SLF*st_ET_w*st_EF_w))*1,".")</f>
        <v>.</v>
      </c>
      <c r="F20" s="61">
        <f>IFERROR((st_DL/(k_decay_w_state*Rad_Spec!AY20*st_GSF_s*st_Fam*st_Foffset*acf!H20*st_ET_w*(1/24)*st_EF_w*(1/365)))*1,".")</f>
        <v>278180.71411047189</v>
      </c>
      <c r="G20" s="61">
        <f t="shared" si="16"/>
        <v>278180.71411047189</v>
      </c>
      <c r="H20" s="61">
        <f t="shared" si="17"/>
        <v>278180.71411047189</v>
      </c>
    </row>
    <row r="21" spans="1:8">
      <c r="A21" s="60" t="s">
        <v>26</v>
      </c>
      <c r="B21" s="88" t="s">
        <v>6</v>
      </c>
      <c r="C21" s="61" t="str">
        <f>IFERROR((st_DL/(k_decay_w_state*Rad_Spec!V21*st_IFD_w*st_EF_w))*1,".")</f>
        <v>.</v>
      </c>
      <c r="D21" s="61">
        <f>IFERROR((st_DL/(k_decay_w_state*Rad_Spec!AN21*st_IRA_w*(1/s_PEFm_pp_state)*st_SLF*st_ET_w*st_EF_w))*1,".")</f>
        <v>2.7163306414667829</v>
      </c>
      <c r="E21" s="61">
        <f>IFERROR((st_DL/(k_decay_w_state*Rad_Spec!AN21*st_IRA_w*(1/s_PEF)*st_SLF*st_ET_w*st_EF_w))*1,".")</f>
        <v>251.01220473898763</v>
      </c>
      <c r="F21" s="61">
        <f>IFERROR((st_DL/(k_decay_w_state*Rad_Spec!AY21*st_GSF_s*st_Fam*st_Foffset*acf!H21*st_ET_w*(1/24)*st_EF_w*(1/365)))*1,".")</f>
        <v>3216097357.9226594</v>
      </c>
      <c r="G21" s="61">
        <f t="shared" si="16"/>
        <v>251.01218514781394</v>
      </c>
      <c r="H21" s="61">
        <f t="shared" si="17"/>
        <v>2.7163306391725572</v>
      </c>
    </row>
    <row r="22" spans="1:8">
      <c r="A22" s="60" t="s">
        <v>27</v>
      </c>
      <c r="B22" s="88" t="s">
        <v>6</v>
      </c>
      <c r="C22" s="61">
        <f>IFERROR((st_DL/(k_decay_w_state*Rad_Spec!V22*st_IFD_w*st_EF_w))*1,".")</f>
        <v>0.41381277863046956</v>
      </c>
      <c r="D22" s="61">
        <f>IFERROR((st_DL/(k_decay_w_state*Rad_Spec!AN22*st_IRA_w*(1/s_PEFm_pp_state)*st_SLF*st_ET_w*st_EF_w))*1,".")</f>
        <v>6.651810742673421E-4</v>
      </c>
      <c r="E22" s="61">
        <f>IFERROR((st_DL/(k_decay_w_state*Rad_Spec!AN22*st_IRA_w*(1/s_PEF)*st_SLF*st_ET_w*st_EF_w))*1,".")</f>
        <v>6.1468425623006258E-2</v>
      </c>
      <c r="F22" s="61">
        <f>IFERROR((st_DL/(k_decay_w_state*Rad_Spec!AY22*st_GSF_s*st_Fam*st_Foffset*acf!H22*st_ET_w*(1/24)*st_EF_w*(1/365)))*1,".")</f>
        <v>1772.0305239530294</v>
      </c>
      <c r="G22" s="61">
        <f t="shared" si="16"/>
        <v>5.3517058054592448E-2</v>
      </c>
      <c r="H22" s="61">
        <f t="shared" si="17"/>
        <v>6.6411329970414727E-4</v>
      </c>
    </row>
    <row r="23" spans="1:8">
      <c r="A23" s="62" t="s">
        <v>28</v>
      </c>
      <c r="B23" s="88" t="s">
        <v>8</v>
      </c>
      <c r="C23" s="61">
        <f>IFERROR((st_DL/(k_decay_w_state*Rad_Spec!V23*st_IFD_w*st_EF_w))*1,".")</f>
        <v>0.14719911696998131</v>
      </c>
      <c r="D23" s="61">
        <f>IFERROR((st_DL/(k_decay_w_state*Rad_Spec!AN23*st_IRA_w*(1/s_PEFm_pp_state)*st_SLF*st_ET_w*st_EF_w))*1,".")</f>
        <v>5.4312357617362591E-4</v>
      </c>
      <c r="E23" s="61">
        <f>IFERROR((st_DL/(k_decay_w_state*Rad_Spec!AN23*st_IRA_w*(1/s_PEF)*st_SLF*st_ET_w*st_EF_w))*1,".")</f>
        <v>5.0189267911600249E-2</v>
      </c>
      <c r="F23" s="61">
        <f>IFERROR((st_DL/(k_decay_w_state*Rad_Spec!AY23*st_GSF_s*st_Fam*st_Foffset*acf!H23*st_ET_w*(1/24)*st_EF_w*(1/365)))*1,".")</f>
        <v>3105.2933525311764</v>
      </c>
      <c r="G23" s="61">
        <f t="shared" si="16"/>
        <v>3.7427363716450446E-2</v>
      </c>
      <c r="H23" s="61">
        <f t="shared" si="17"/>
        <v>5.4112687469215568E-4</v>
      </c>
    </row>
    <row r="24" spans="1:8">
      <c r="A24" s="60" t="s">
        <v>29</v>
      </c>
      <c r="B24" s="88" t="s">
        <v>6</v>
      </c>
      <c r="C24" s="61" t="str">
        <f>IFERROR((st_DL/(k_decay_w_state*Rad_Spec!V24*st_IFD_w*st_EF_w))*1,".")</f>
        <v>.</v>
      </c>
      <c r="D24" s="61" t="str">
        <f>IFERROR((st_DL/(k_decay_w_state*Rad_Spec!AN24*st_IRA_w*(1/s_PEFm_pp_state)*st_SLF*st_ET_w*st_EF_w))*1,".")</f>
        <v>.</v>
      </c>
      <c r="E24" s="61" t="str">
        <f>IFERROR((st_DL/(k_decay_w_state*Rad_Spec!AN24*st_IRA_w*(1/s_PEF)*st_SLF*st_ET_w*st_EF_w))*1,".")</f>
        <v>.</v>
      </c>
      <c r="F24" s="61">
        <f>IFERROR((st_DL/(k_decay_w_state*Rad_Spec!AY24*st_GSF_s*st_Fam*st_Foffset*acf!H24*st_ET_w*(1/24)*st_EF_w*(1/365)))*1,".")</f>
        <v>30004.322657580935</v>
      </c>
      <c r="G24" s="61">
        <f t="shared" si="16"/>
        <v>30004.322657580939</v>
      </c>
      <c r="H24" s="61">
        <f t="shared" si="17"/>
        <v>30004.322657580939</v>
      </c>
    </row>
    <row r="25" spans="1:8">
      <c r="A25" s="62" t="s">
        <v>30</v>
      </c>
      <c r="B25" s="88" t="s">
        <v>8</v>
      </c>
      <c r="C25" s="61" t="str">
        <f>IFERROR((st_DL/(k_decay_w_state*Rad_Spec!V25*st_IFD_w*st_EF_w))*1,".")</f>
        <v>.</v>
      </c>
      <c r="D25" s="61">
        <f>IFERROR((st_DL/(k_decay_w_state*Rad_Spec!AN25*st_IRA_w*(1/s_PEFm_pp_state)*st_SLF*st_ET_w*st_EF_w))*1,".")</f>
        <v>3.1600670974010505</v>
      </c>
      <c r="E25" s="61">
        <f>IFERROR((st_DL/(k_decay_w_state*Rad_Spec!AN25*st_IRA_w*(1/s_PEF)*st_SLF*st_ET_w*st_EF_w))*1,".")</f>
        <v>292.01725192535656</v>
      </c>
      <c r="F25" s="61">
        <f>IFERROR((st_DL/(k_decay_w_state*Rad_Spec!AY25*st_GSF_s*st_Fam*st_Foffset*acf!H25*st_ET_w*(1/24)*st_EF_w*(1/365)))*1,".")</f>
        <v>58712.784869654701</v>
      </c>
      <c r="G25" s="61">
        <f t="shared" ref="G25" si="18">(IF(AND(C25&lt;&gt;".",E25&lt;&gt;".",F25&lt;&gt;"."),1/((1/C25)+(1/E25)+(1/F25)),IF(AND(C25&lt;&gt;".",E25&lt;&gt;".",F25="."), 1/((1/C25)+(1/E25)),IF(AND(C25&lt;&gt;".",E25=".",F25&lt;&gt;"."),1/((1/C25)+(1/F25)),IF(AND(C25=".",E25&lt;&gt;".",F25&lt;&gt;"."),1/((1/E25)+(1/F25)),IF(AND(C25&lt;&gt;".",E25=".",F25="."),1/(1/C25),IF(AND(C25=".",E25&lt;&gt;".",F25="."),1/(1/E25),IF(AND(C25=".",E25=".",F25&lt;&gt;"."),1/(1/F25),IF(AND(C25=".",E25=".",F25="."),".")))))))))</f>
        <v>290.57204624114246</v>
      </c>
      <c r="H25" s="61">
        <f t="shared" ref="H25" si="19">(IF(AND(C25&lt;&gt;".",D25&lt;&gt;".",F25&lt;&gt;"."),1/((1/C25)+(1/D25)+(1/F25)),IF(AND(C25&lt;&gt;".",D25&lt;&gt;".",F25="."), 1/((1/C25)+(1/D25)),IF(AND(C25&lt;&gt;".",D25=".",F25&lt;&gt;"."),1/((1/C25)+(1/F25)),IF(AND(C25=".",D25&lt;&gt;".",F25&lt;&gt;"."),1/((1/D25)+(1/F25)),IF(AND(C25&lt;&gt;".",D25=".",F25="."),1/(1/C25),IF(AND(C25=".",D25&lt;&gt;".",F25="."),1/(1/D25),IF(AND(C25=".",D25=".",F25&lt;&gt;"."),1/(1/F25),IF(AND(C25=".",D25=".",F25="."),".")))))))))</f>
        <v>3.1598970239385378</v>
      </c>
    </row>
    <row r="26" spans="1:8">
      <c r="A26" s="60" t="s">
        <v>31</v>
      </c>
      <c r="B26" s="88" t="s">
        <v>6</v>
      </c>
      <c r="C26" s="61">
        <f>IFERROR((st_DL/(k_decay_w_state*Rad_Spec!V26*st_IFD_w*st_EF_w))*1,".")</f>
        <v>8.2596698900991528E-2</v>
      </c>
      <c r="D26" s="61">
        <f>IFERROR((st_DL/(k_decay_w_state*Rad_Spec!AN26*st_IRA_w*(1/s_PEFm_pp_state)*st_SLF*st_ET_w*st_EF_w))*1,".")</f>
        <v>7.4095004431633731E-5</v>
      </c>
      <c r="E26" s="61">
        <f>IFERROR((st_DL/(k_decay_w_state*Rad_Spec!AN26*st_IRA_w*(1/s_PEF)*st_SLF*st_ET_w*st_EF_w))*1,".")</f>
        <v>6.8470127084699671E-3</v>
      </c>
      <c r="F26" s="61">
        <f>IFERROR((st_DL/(k_decay_w_state*Rad_Spec!AY26*st_GSF_s*st_Fam*st_Foffset*acf!H26*st_ET_w*(1/24)*st_EF_w*(1/365)))*1,".")</f>
        <v>254.63361649859843</v>
      </c>
      <c r="G26" s="61">
        <f t="shared" ref="G26:G30" si="20">(IF(AND(C26&lt;&gt;".",E26&lt;&gt;".",F26&lt;&gt;"."),1/((1/C26)+(1/E26)+(1/F26)),IF(AND(C26&lt;&gt;".",E26&lt;&gt;".",F26="."), 1/((1/C26)+(1/E26)),IF(AND(C26&lt;&gt;".",E26=".",F26&lt;&gt;"."),1/((1/C26)+(1/F26)),IF(AND(C26=".",E26&lt;&gt;".",F26&lt;&gt;"."),1/((1/E26)+(1/F26)),IF(AND(C26&lt;&gt;".",E26=".",F26="."),1/(1/C26),IF(AND(C26=".",E26&lt;&gt;".",F26="."),1/(1/E26),IF(AND(C26=".",E26=".",F26&lt;&gt;"."),1/(1/F26),IF(AND(C26=".",E26=".",F26="."),".")))))))))</f>
        <v>6.3227094913001066E-3</v>
      </c>
      <c r="H26" s="61">
        <f t="shared" ref="H26:H30" si="21">(IF(AND(C26&lt;&gt;".",D26&lt;&gt;".",F26&lt;&gt;"."),1/((1/C26)+(1/D26)+(1/F26)),IF(AND(C26&lt;&gt;".",D26&lt;&gt;".",F26="."), 1/((1/C26)+(1/D26)),IF(AND(C26&lt;&gt;".",D26=".",F26&lt;&gt;"."),1/((1/C26)+(1/F26)),IF(AND(C26=".",D26&lt;&gt;".",F26&lt;&gt;"."),1/((1/D26)+(1/F26)),IF(AND(C26&lt;&gt;".",D26=".",F26="."),1/(1/C26),IF(AND(C26=".",D26&lt;&gt;".",F26="."),1/(1/D26),IF(AND(C26=".",D26=".",F26&lt;&gt;"."),1/(1/F26),IF(AND(C26=".",D26=".",F26="."),".")))))))))</f>
        <v>7.4028574091905745E-5</v>
      </c>
    </row>
    <row r="27" spans="1:8">
      <c r="A27" s="60" t="s">
        <v>32</v>
      </c>
      <c r="B27" s="88" t="s">
        <v>6</v>
      </c>
      <c r="C27" s="61" t="str">
        <f>IFERROR((st_DL/(k_decay_w_state*Rad_Spec!V27*st_IFD_w*st_EF_w))*1,".")</f>
        <v>.</v>
      </c>
      <c r="D27" s="61" t="str">
        <f>IFERROR((st_DL/(k_decay_w_state*Rad_Spec!AN27*st_IRA_w*(1/s_PEFm_pp_state)*st_SLF*st_ET_w*st_EF_w))*1,".")</f>
        <v>.</v>
      </c>
      <c r="E27" s="61" t="str">
        <f>IFERROR((st_DL/(k_decay_w_state*Rad_Spec!AN27*st_IRA_w*(1/s_PEF)*st_SLF*st_ET_w*st_EF_w))*1,".")</f>
        <v>.</v>
      </c>
      <c r="F27" s="61">
        <f>IFERROR((st_DL/(k_decay_w_state*Rad_Spec!AY27*st_GSF_s*st_Fam*st_Foffset*acf!H27*st_ET_w*(1/24)*st_EF_w*(1/365)))*1,".")</f>
        <v>333.87019743955045</v>
      </c>
      <c r="G27" s="61">
        <f t="shared" si="20"/>
        <v>333.87019743955045</v>
      </c>
      <c r="H27" s="61">
        <f t="shared" si="21"/>
        <v>333.87019743955045</v>
      </c>
    </row>
    <row r="28" spans="1:8">
      <c r="A28" s="60" t="s">
        <v>33</v>
      </c>
      <c r="B28" s="88" t="s">
        <v>6</v>
      </c>
      <c r="C28" s="61" t="str">
        <f>IFERROR((st_DL/(k_decay_w_state*Rad_Spec!V28*st_IFD_w*st_EF_w))*1,".")</f>
        <v>.</v>
      </c>
      <c r="D28" s="61" t="str">
        <f>IFERROR((st_DL/(k_decay_w_state*Rad_Spec!AN28*st_IRA_w*(1/s_PEFm_pp_state)*st_SLF*st_ET_w*st_EF_w))*1,".")</f>
        <v>.</v>
      </c>
      <c r="E28" s="61" t="str">
        <f>IFERROR((st_DL/(k_decay_w_state*Rad_Spec!AN28*st_IRA_w*(1/s_PEF)*st_SLF*st_ET_w*st_EF_w))*1,".")</f>
        <v>.</v>
      </c>
      <c r="F28" s="61">
        <f>IFERROR((st_DL/(k_decay_w_state*Rad_Spec!AY28*st_GSF_s*st_Fam*st_Foffset*acf!H28*st_ET_w*(1/24)*st_EF_w*(1/365)))*1,".")</f>
        <v>10.980902711679503</v>
      </c>
      <c r="G28" s="61">
        <f t="shared" si="20"/>
        <v>10.980902711679503</v>
      </c>
      <c r="H28" s="61">
        <f t="shared" si="21"/>
        <v>10.980902711679503</v>
      </c>
    </row>
    <row r="29" spans="1:8">
      <c r="A29" s="60" t="s">
        <v>34</v>
      </c>
      <c r="B29" s="88" t="s">
        <v>6</v>
      </c>
      <c r="C29" s="61" t="str">
        <f>IFERROR((st_DL/(k_decay_w_state*Rad_Spec!V29*st_IFD_w*st_EF_w))*1,".")</f>
        <v>.</v>
      </c>
      <c r="D29" s="61" t="str">
        <f>IFERROR((st_DL/(k_decay_w_state*Rad_Spec!AN29*st_IRA_w*(1/s_PEFm_pp_state)*st_SLF*st_ET_w*st_EF_w))*1,".")</f>
        <v>.</v>
      </c>
      <c r="E29" s="61" t="str">
        <f>IFERROR((st_DL/(k_decay_w_state*Rad_Spec!AN29*st_IRA_w*(1/s_PEF)*st_SLF*st_ET_w*st_EF_w))*1,".")</f>
        <v>.</v>
      </c>
      <c r="F29" s="61">
        <f>IFERROR((st_DL/(k_decay_w_state*Rad_Spec!AY29*st_GSF_s*st_Fam*st_Foffset*acf!H29*st_ET_w*(1/24)*st_EF_w*(1/365)))*1,".")</f>
        <v>8.3515536452584609</v>
      </c>
      <c r="G29" s="61">
        <f t="shared" si="20"/>
        <v>8.3515536452584609</v>
      </c>
      <c r="H29" s="61">
        <f t="shared" si="21"/>
        <v>8.3515536452584609</v>
      </c>
    </row>
    <row r="30" spans="1:8">
      <c r="A30" s="60" t="s">
        <v>35</v>
      </c>
      <c r="B30" s="88" t="s">
        <v>6</v>
      </c>
      <c r="C30" s="61">
        <f>IFERROR((st_DL/(k_decay_w_state*Rad_Spec!V30*st_IFD_w*st_EF_w))*1,".")</f>
        <v>0.80499517092958528</v>
      </c>
      <c r="D30" s="61">
        <f>IFERROR((st_DL/(k_decay_w_state*Rad_Spec!AN30*st_IRA_w*(1/s_PEFm_pp_state)*st_SLF*st_ET_w*st_EF_w))*1,".")</f>
        <v>5.4312357617362591E-4</v>
      </c>
      <c r="E30" s="61">
        <f>IFERROR((st_DL/(k_decay_w_state*Rad_Spec!AN30*st_IRA_w*(1/s_PEF)*st_SLF*st_ET_w*st_EF_w))*1,".")</f>
        <v>5.0189267911600249E-2</v>
      </c>
      <c r="F30" s="61">
        <f>IFERROR((st_DL/(k_decay_w_state*Rad_Spec!AY30*st_GSF_s*st_Fam*st_Foffset*acf!H30*st_ET_w*(1/24)*st_EF_w*(1/365)))*1,".")</f>
        <v>40437.694720939318</v>
      </c>
      <c r="G30" s="61">
        <f t="shared" si="20"/>
        <v>4.724369301427804E-2</v>
      </c>
      <c r="H30" s="61">
        <f t="shared" si="21"/>
        <v>5.4275737497711711E-4</v>
      </c>
    </row>
    <row r="31" spans="1:8">
      <c r="A31" s="63" t="s">
        <v>7</v>
      </c>
      <c r="B31" s="82" t="s">
        <v>6</v>
      </c>
      <c r="C31" s="67">
        <f>IFERROR(1/SUM(1/C32,1/C33,1/C34,1/C35,1/C36,1/C37,1/C38,1/C41,1/C44),0)</f>
        <v>4.1190187261298569E-2</v>
      </c>
      <c r="D31" s="67">
        <f t="shared" ref="D31:E31" si="22">IFERROR(1/SUM(1/D32,1/D33,1/D34,1/D35,1/D36,1/D37,1/D38,1/D41,1/D44),0)</f>
        <v>2.6125108836038887E-5</v>
      </c>
      <c r="E31" s="67">
        <f t="shared" si="22"/>
        <v>2.4141837035122661E-3</v>
      </c>
      <c r="F31" s="67">
        <f>IFERROR(1/SUM(1/F32,1/F33,1/F34,1/F35,1/F36,1/F37,1/F38,1/F39,1/F40,1/F41,1/F42,1/F43,1/F44),0)</f>
        <v>35.388275469427811</v>
      </c>
      <c r="G31" s="68">
        <f t="shared" ref="G31:H31" si="23">IFERROR(1/SUM(1/G32,1/G33,1/G34,1/G35,1/G36,1/G37,1/G38,1/G39,1/G40,1/G41,1/G42,1/G43,1/G44),0)</f>
        <v>2.2803739350927056E-3</v>
      </c>
      <c r="H31" s="68">
        <f t="shared" si="23"/>
        <v>2.610853007901219E-5</v>
      </c>
    </row>
    <row r="32" spans="1:8">
      <c r="A32" s="65" t="s">
        <v>390</v>
      </c>
      <c r="B32" s="89">
        <v>1</v>
      </c>
      <c r="C32" s="69">
        <f>IFERROR(C3/$B32,0)</f>
        <v>0.20203800368428806</v>
      </c>
      <c r="D32" s="69">
        <f>IFERROR(D3/$B32,0)</f>
        <v>5.702520728428486E-5</v>
      </c>
      <c r="E32" s="69">
        <f>IFERROR(E3/$B32,0)</f>
        <v>5.2696173240518096E-3</v>
      </c>
      <c r="F32" s="69">
        <f>IFERROR(F3/$B32,0)</f>
        <v>895.65583753236285</v>
      </c>
      <c r="G32" s="70">
        <f t="shared" ref="G32:G44" si="24">(IF(AND(C32&lt;&gt;0,E32&lt;&gt;0,F32&lt;&gt;0),1/((1/C32)+(1/E32)+(1/F32)),IF(AND(C32&lt;&gt;0,E32&lt;&gt;0,F32=0), 1/((1/C32)+(1/E32)),IF(AND(C32&lt;&gt;0,E32=0,F32&lt;&gt;0),1/((1/C32)+(1/F32)),IF(AND(C32=0,E32&lt;&gt;0,F32&lt;&gt;0),1/((1/E32)+(1/F32)),IF(AND(C32&lt;&gt;0,E32=0,F32=0),1/(1/C32),IF(AND(C32=0,E32&lt;&gt;0,F32=0),1/(1/E32),IF(AND(C32=0,E32=0,F32&lt;&gt;0),1/(1/F32),IF(AND(C32=0,E32=0,F32=0),0)))))))))</f>
        <v>5.1356378238212553E-3</v>
      </c>
      <c r="H32" s="70">
        <f t="shared" ref="H32:H44" si="25">(IF(AND(C32&lt;&gt;0,D32&lt;&gt;0,F32&lt;&gt;0),1/((1/C32)+(1/D32)+(1/F32)),IF(AND(C32&lt;&gt;0,D32&lt;&gt;0,F32=0), 1/((1/C32)+(1/D32)),IF(AND(C32&lt;&gt;0,D32=0,F32&lt;&gt;0),1/((1/C32)+(1/F32)),IF(AND(C32=0,D32&lt;&gt;0,F32&lt;&gt;0),1/((1/D32)+(1/F32)),IF(AND(C32&lt;&gt;0,D32=0,F32=0),1/(1/C32),IF(AND(C32=0,D32&lt;&gt;0,F32=0),1/(1/D32),IF(AND(C32=0,D32=0,F32&lt;&gt;0),1/(1/F32),IF(AND(C32=0,D32=0,F32=0),0)))))))))</f>
        <v>5.7009112837925875E-5</v>
      </c>
    </row>
    <row r="33" spans="1:8">
      <c r="A33" s="65" t="s">
        <v>391</v>
      </c>
      <c r="B33" s="89">
        <v>1</v>
      </c>
      <c r="C33" s="71">
        <f t="shared" ref="C33:F34" si="26">IFERROR(C13/$B33,0)</f>
        <v>0.38519395094948383</v>
      </c>
      <c r="D33" s="71">
        <f t="shared" si="26"/>
        <v>4.4398197099907507E-4</v>
      </c>
      <c r="E33" s="71">
        <f t="shared" si="26"/>
        <v>4.1027734880117663E-2</v>
      </c>
      <c r="F33" s="71">
        <f t="shared" si="26"/>
        <v>797.08386298463518</v>
      </c>
      <c r="G33" s="70">
        <f t="shared" si="24"/>
        <v>3.7076715496058878E-2</v>
      </c>
      <c r="H33" s="70">
        <f t="shared" si="25"/>
        <v>4.4347057125586212E-4</v>
      </c>
    </row>
    <row r="34" spans="1:8">
      <c r="A34" s="65" t="s">
        <v>392</v>
      </c>
      <c r="B34" s="89">
        <v>1</v>
      </c>
      <c r="C34" s="71">
        <f t="shared" si="26"/>
        <v>42.666410715936614</v>
      </c>
      <c r="D34" s="71">
        <f t="shared" si="26"/>
        <v>1.226792288286918</v>
      </c>
      <c r="E34" s="71">
        <f t="shared" si="26"/>
        <v>113.36610953716723</v>
      </c>
      <c r="F34" s="71">
        <f t="shared" si="26"/>
        <v>102.23696868699537</v>
      </c>
      <c r="G34" s="70">
        <f t="shared" si="24"/>
        <v>23.786973397054933</v>
      </c>
      <c r="H34" s="70">
        <f t="shared" si="25"/>
        <v>1.1787549423939192</v>
      </c>
    </row>
    <row r="35" spans="1:8">
      <c r="A35" s="65" t="s">
        <v>393</v>
      </c>
      <c r="B35" s="89">
        <v>1</v>
      </c>
      <c r="C35" s="71">
        <f>IFERROR(C30/$B35,0)</f>
        <v>0.80499517092958528</v>
      </c>
      <c r="D35" s="71">
        <f>IFERROR(D30/$B35,0)</f>
        <v>5.4312357617362591E-4</v>
      </c>
      <c r="E35" s="71">
        <f>IFERROR(E30/$B35,0)</f>
        <v>5.0189267911600249E-2</v>
      </c>
      <c r="F35" s="71">
        <f>IFERROR(F30/$B35,0)</f>
        <v>40437.694720939318</v>
      </c>
      <c r="G35" s="70">
        <f t="shared" si="24"/>
        <v>4.724369301427804E-2</v>
      </c>
      <c r="H35" s="70">
        <f t="shared" si="25"/>
        <v>5.4275737497711711E-4</v>
      </c>
    </row>
    <row r="36" spans="1:8">
      <c r="A36" s="65" t="s">
        <v>394</v>
      </c>
      <c r="B36" s="89">
        <v>1</v>
      </c>
      <c r="C36" s="71">
        <f>IFERROR(C26/$B36,0)</f>
        <v>8.2596698900991528E-2</v>
      </c>
      <c r="D36" s="71">
        <f>IFERROR(D26/$B36,0)</f>
        <v>7.4095004431633731E-5</v>
      </c>
      <c r="E36" s="71">
        <f>IFERROR(E26/$B36,0)</f>
        <v>6.8470127084699671E-3</v>
      </c>
      <c r="F36" s="71">
        <f>IFERROR(F26/$B36,0)</f>
        <v>254.63361649859843</v>
      </c>
      <c r="G36" s="70">
        <f t="shared" si="24"/>
        <v>6.3227094913001066E-3</v>
      </c>
      <c r="H36" s="70">
        <f t="shared" si="25"/>
        <v>7.4028574091905745E-5</v>
      </c>
    </row>
    <row r="37" spans="1:8">
      <c r="A37" s="65" t="s">
        <v>395</v>
      </c>
      <c r="B37" s="89">
        <v>1</v>
      </c>
      <c r="C37" s="71">
        <f>IFERROR(C22/$B37,0)</f>
        <v>0.41381277863046956</v>
      </c>
      <c r="D37" s="71">
        <f>IFERROR(D22/$B37,0)</f>
        <v>6.651810742673421E-4</v>
      </c>
      <c r="E37" s="71">
        <f>IFERROR(E22/$B37,0)</f>
        <v>6.1468425623006258E-2</v>
      </c>
      <c r="F37" s="71">
        <f>IFERROR(F22/$B37,0)</f>
        <v>1772.0305239530294</v>
      </c>
      <c r="G37" s="70">
        <f t="shared" si="24"/>
        <v>5.3517058054592448E-2</v>
      </c>
      <c r="H37" s="70">
        <f t="shared" si="25"/>
        <v>6.6411329970414727E-4</v>
      </c>
    </row>
    <row r="38" spans="1:8">
      <c r="A38" s="65" t="s">
        <v>396</v>
      </c>
      <c r="B38" s="89">
        <v>1</v>
      </c>
      <c r="C38" s="71">
        <f>IFERROR(C2/$B38,0)</f>
        <v>1.0677656153262893</v>
      </c>
      <c r="D38" s="71">
        <f>IFERROR(D2/$B38,0)</f>
        <v>6.0938701901833842E-4</v>
      </c>
      <c r="E38" s="71">
        <f>IFERROR(E2/$B38,0)</f>
        <v>5.6312577286435996E-2</v>
      </c>
      <c r="F38" s="71">
        <f>IFERROR(F2/$B38,0)</f>
        <v>1486.2088149753049</v>
      </c>
      <c r="G38" s="70">
        <f t="shared" si="24"/>
        <v>5.3489579341622295E-2</v>
      </c>
      <c r="H38" s="70">
        <f t="shared" si="25"/>
        <v>6.0903918311446589E-4</v>
      </c>
    </row>
    <row r="39" spans="1:8">
      <c r="A39" s="65" t="s">
        <v>397</v>
      </c>
      <c r="B39" s="89">
        <v>1</v>
      </c>
      <c r="C39" s="71">
        <f>IFERROR(C11/$B39,0)</f>
        <v>0</v>
      </c>
      <c r="D39" s="71">
        <f>IFERROR(D11/$B39,0)</f>
        <v>0</v>
      </c>
      <c r="E39" s="71">
        <f>IFERROR(E11/$B39,0)</f>
        <v>0</v>
      </c>
      <c r="F39" s="71">
        <f>IFERROR(F11/$B39,0)</f>
        <v>771.45425500379372</v>
      </c>
      <c r="G39" s="70">
        <f t="shared" si="24"/>
        <v>771.45425500379383</v>
      </c>
      <c r="H39" s="70">
        <f t="shared" si="25"/>
        <v>771.45425500379383</v>
      </c>
    </row>
    <row r="40" spans="1:8">
      <c r="A40" s="65" t="s">
        <v>398</v>
      </c>
      <c r="B40" s="89">
        <v>1</v>
      </c>
      <c r="C40" s="71">
        <f>IFERROR(C4/$B40,0)</f>
        <v>0</v>
      </c>
      <c r="D40" s="71">
        <f>IFERROR(D4/$B40,0)</f>
        <v>0</v>
      </c>
      <c r="E40" s="71">
        <f>IFERROR(E4/$B40,0)</f>
        <v>0</v>
      </c>
      <c r="F40" s="71">
        <f>IFERROR(F4/$B40,0)</f>
        <v>92752.517403910344</v>
      </c>
      <c r="G40" s="70">
        <f t="shared" si="24"/>
        <v>92752.517403910344</v>
      </c>
      <c r="H40" s="70">
        <f t="shared" si="25"/>
        <v>92752.517403910344</v>
      </c>
    </row>
    <row r="41" spans="1:8">
      <c r="A41" s="65" t="s">
        <v>399</v>
      </c>
      <c r="B41" s="90">
        <v>0.99987999999999999</v>
      </c>
      <c r="C41" s="71">
        <f>IFERROR(C8/$B41,0)</f>
        <v>208.18534967425771</v>
      </c>
      <c r="D41" s="71">
        <f>IFERROR(D8/$B41,0)</f>
        <v>0.157601245518148</v>
      </c>
      <c r="E41" s="71">
        <f>IFERROR(E8/$B41,0)</f>
        <v>14.56370424984752</v>
      </c>
      <c r="F41" s="71">
        <f>IFERROR(F8/$B41,0)</f>
        <v>132.35020725993729</v>
      </c>
      <c r="G41" s="70">
        <f t="shared" si="24"/>
        <v>12.342178508913308</v>
      </c>
      <c r="H41" s="70">
        <f t="shared" si="25"/>
        <v>0.15729486449344737</v>
      </c>
    </row>
    <row r="42" spans="1:8">
      <c r="A42" s="65" t="s">
        <v>400</v>
      </c>
      <c r="B42" s="89">
        <v>0.97898250799999997</v>
      </c>
      <c r="C42" s="71">
        <f>IFERROR(C19/$B42,0)</f>
        <v>0</v>
      </c>
      <c r="D42" s="71">
        <f>IFERROR(D19/$B42,0)</f>
        <v>0</v>
      </c>
      <c r="E42" s="71">
        <f>IFERROR(E19/$B42,0)</f>
        <v>0</v>
      </c>
      <c r="F42" s="71">
        <f>IFERROR(F19/$B42,0)</f>
        <v>625908.17750603077</v>
      </c>
      <c r="G42" s="70">
        <f t="shared" si="24"/>
        <v>625908.17750603077</v>
      </c>
      <c r="H42" s="70">
        <f t="shared" si="25"/>
        <v>625908.17750603077</v>
      </c>
    </row>
    <row r="43" spans="1:8">
      <c r="A43" s="65" t="s">
        <v>401</v>
      </c>
      <c r="B43" s="89">
        <v>2.0897492E-2</v>
      </c>
      <c r="C43" s="71">
        <f>IFERROR(C28/$B43,0)</f>
        <v>0</v>
      </c>
      <c r="D43" s="71">
        <f>IFERROR(D28/$B43,0)</f>
        <v>0</v>
      </c>
      <c r="E43" s="71">
        <f>IFERROR(E28/$B43,0)</f>
        <v>0</v>
      </c>
      <c r="F43" s="71">
        <f>IFERROR(F28/$B43,0)</f>
        <v>525.46509943296087</v>
      </c>
      <c r="G43" s="70">
        <f t="shared" si="24"/>
        <v>525.46509943296087</v>
      </c>
      <c r="H43" s="70">
        <f t="shared" si="25"/>
        <v>525.46509943296087</v>
      </c>
    </row>
    <row r="44" spans="1:8">
      <c r="A44" s="65" t="s">
        <v>402</v>
      </c>
      <c r="B44" s="89">
        <v>0.99987999999999999</v>
      </c>
      <c r="C44" s="71">
        <f>IFERROR(C15/$B44,0)</f>
        <v>726.99645917994769</v>
      </c>
      <c r="D44" s="71">
        <f>IFERROR(D15/$B44,0)</f>
        <v>80.155361259230006</v>
      </c>
      <c r="E44" s="71">
        <f>IFERROR(E15/$B44,0)</f>
        <v>7407.0415597362035</v>
      </c>
      <c r="F44" s="71">
        <f>IFERROR(F15/$B44,0)</f>
        <v>6705.208208115283</v>
      </c>
      <c r="G44" s="70">
        <f t="shared" si="24"/>
        <v>602.5305128356863</v>
      </c>
      <c r="H44" s="70">
        <f t="shared" si="25"/>
        <v>71.426366535250139</v>
      </c>
    </row>
    <row r="45" spans="1:8">
      <c r="A45" s="63" t="s">
        <v>15</v>
      </c>
      <c r="B45" s="82" t="s">
        <v>6</v>
      </c>
      <c r="C45" s="67">
        <f>IFERROR(1/SUM(1/C46),0)</f>
        <v>3.0305700552643211</v>
      </c>
      <c r="D45" s="67">
        <f t="shared" ref="D45:E45" si="27">IFERROR(1/SUM(1/D46),0)</f>
        <v>0.13415282576950471</v>
      </c>
      <c r="E45" s="67">
        <f t="shared" si="27"/>
        <v>12.396869532121885</v>
      </c>
      <c r="F45" s="67">
        <f>IFERROR(1/SUM(1/F46,1/F47),0)</f>
        <v>39.636648090355827</v>
      </c>
      <c r="G45" s="68">
        <f>IFERROR(1/SUM(1/G46,1/G47),0)</f>
        <v>2.2942850731725875</v>
      </c>
      <c r="H45" s="68">
        <f t="shared" ref="H45" si="28">IFERROR(1/SUM(1/H46,1/H47),0)</f>
        <v>0.12805105261888752</v>
      </c>
    </row>
    <row r="46" spans="1:8">
      <c r="A46" s="65" t="s">
        <v>403</v>
      </c>
      <c r="B46" s="89">
        <v>1</v>
      </c>
      <c r="C46" s="71">
        <f>IFERROR(C10/$B46,0)</f>
        <v>3.0305700552643211</v>
      </c>
      <c r="D46" s="71">
        <f>IFERROR(D10/$B46,0)</f>
        <v>0.13415282576950471</v>
      </c>
      <c r="E46" s="71">
        <f>IFERROR(E10/$B46,0)</f>
        <v>12.396869532121885</v>
      </c>
      <c r="F46" s="71">
        <f>IFERROR(F10/$B46,0)</f>
        <v>6793.5705919613638</v>
      </c>
      <c r="G46" s="70">
        <f>(IF(AND(C46&lt;&gt;0,E46&lt;&gt;0,F46&lt;&gt;0),1/((1/C46)+(1/E46)+(1/F46)),IF(AND(C46&lt;&gt;0,E46&lt;&gt;0,F46=0), 1/((1/C46)+(1/E46)),IF(AND(C46&lt;&gt;0,E46=0,F46&lt;&gt;0),1/((1/C46)+(1/F46)),IF(AND(C46=0,E46&lt;&gt;0,F46&lt;&gt;0),1/((1/E46)+(1/F46)),IF(AND(C46&lt;&gt;0,E46=0,F46=0),1/(1/C46),IF(AND(C46=0,E46&lt;&gt;0,F46=0),1/(1/E46),IF(AND(C46=0,E46=0,F46&lt;&gt;0),1/(1/F46),IF(AND(C46=0,E46=0,F46=0),0)))))))))</f>
        <v>2.4343714904117131</v>
      </c>
      <c r="H46" s="70">
        <f>(IF(AND(C46&lt;&gt;0,D46&lt;&gt;0,F46&lt;&gt;0),1/((1/C46)+(1/D46)+(1/F46)),IF(AND(C46&lt;&gt;0,D46&lt;&gt;0,F46=0), 1/((1/C46)+(1/D46)),IF(AND(C46&lt;&gt;0,D46=0,F46&lt;&gt;0),1/((1/C46)+(1/F46)),IF(AND(C46=0,D46&lt;&gt;0,F46&lt;&gt;0),1/((1/D46)+(1/F46)),IF(AND(C46&lt;&gt;0,D46=0,F46=0),1/(1/C46),IF(AND(C46=0,D46&lt;&gt;0,F46=0),1/(1/D46),IF(AND(C46=0,D46=0,F46&lt;&gt;0),1/(1/F46),IF(AND(C46=0,D46=0,F46=0),0)))))))))</f>
        <v>0.12846364879769254</v>
      </c>
    </row>
    <row r="47" spans="1:8">
      <c r="A47" s="65" t="s">
        <v>404</v>
      </c>
      <c r="B47" s="89">
        <v>0.94399</v>
      </c>
      <c r="C47" s="71">
        <f>IFERROR(C6/$B47,0)</f>
        <v>0</v>
      </c>
      <c r="D47" s="71">
        <f>IFERROR(D6/$B47,0)</f>
        <v>0</v>
      </c>
      <c r="E47" s="71">
        <f>IFERROR(E6/$B47,0)</f>
        <v>0</v>
      </c>
      <c r="F47" s="71">
        <f>IFERROR(F6/$B47,0)</f>
        <v>39.869262724270691</v>
      </c>
      <c r="G47" s="70">
        <f>(IF(AND(C47&lt;&gt;0,E47&lt;&gt;0,F47&lt;&gt;0),1/((1/C47)+(1/E47)+(1/F47)),IF(AND(C47&lt;&gt;0,E47&lt;&gt;0,F47=0), 1/((1/C47)+(1/E47)),IF(AND(C47&lt;&gt;0,E47=0,F47&lt;&gt;0),1/((1/C47)+(1/F47)),IF(AND(C47=0,E47&lt;&gt;0,F47&lt;&gt;0),1/((1/E47)+(1/F47)),IF(AND(C47&lt;&gt;0,E47=0,F47=0),1/(1/C47),IF(AND(C47=0,E47&lt;&gt;0,F47=0),1/(1/E47),IF(AND(C47=0,E47=0,F47&lt;&gt;0),1/(1/F47),IF(AND(C47=0,E47=0,F47=0),0)))))))))</f>
        <v>39.869262724270691</v>
      </c>
      <c r="H47" s="70">
        <f>(IF(AND(C47&lt;&gt;0,D47&lt;&gt;0,F47&lt;&gt;0),1/((1/C47)+(1/D47)+(1/F47)),IF(AND(C47&lt;&gt;0,D47&lt;&gt;0,F47=0), 1/((1/C47)+(1/D47)),IF(AND(C47&lt;&gt;0,D47=0,F47&lt;&gt;0),1/((1/C47)+(1/F47)),IF(AND(C47=0,D47&lt;&gt;0,F47&lt;&gt;0),1/((1/D47)+(1/F47)),IF(AND(C47&lt;&gt;0,D47=0,F47=0),1/(1/C47),IF(AND(C47=0,D47&lt;&gt;0,F47=0),1/(1/D47),IF(AND(C47=0,D47=0,F47&lt;&gt;0),1/(1/F47),IF(AND(C47=0,D47=0,F47=0),0)))))))))</f>
        <v>39.869262724270691</v>
      </c>
    </row>
    <row r="48" spans="1:8">
      <c r="A48" s="63" t="s">
        <v>28</v>
      </c>
      <c r="B48" s="82" t="s">
        <v>6</v>
      </c>
      <c r="C48" s="67">
        <f>IFERROR(1/SUM(1/C49,1/C52,1/C54,1/C58,1/C59,1/C61),0)</f>
        <v>1.8840961818114118E-2</v>
      </c>
      <c r="D48" s="67">
        <f>IFERROR(1/SUM(1/D49,1/D50,1/D51,1/D52,1/D54,1/D58,1/D59,1/D61),0)</f>
        <v>2.6409640207644561E-4</v>
      </c>
      <c r="E48" s="67">
        <f>IFERROR(1/SUM(1/E49,1/E50,1/E51,1/E52,1/E54,1/E58,1/E59,1/E61),0)</f>
        <v>2.4404768380128526E-2</v>
      </c>
      <c r="F48" s="67">
        <f>IFERROR(1/SUM(1/F49,1/F50,1/F51,1/F52,1/F53,1/F54,1/F55,1/F56,1/F57,1/F58,1/F59,1/F60,1/F61,1/F62),0)</f>
        <v>12.92029634235351</v>
      </c>
      <c r="G48" s="68">
        <f t="shared" ref="G48:H48" si="29">IFERROR(1/SUM(1/G49,1/G50,1/G51,1/G52,1/G53,1/G54,1/G55,1/G56,1/G57,1/G58,1/G59,1/G60,1/G61,1/G62),0)</f>
        <v>1.0623736218969218E-2</v>
      </c>
      <c r="H48" s="68">
        <f t="shared" si="29"/>
        <v>2.6044044830133667E-4</v>
      </c>
    </row>
    <row r="49" spans="1:8">
      <c r="A49" s="65" t="s">
        <v>405</v>
      </c>
      <c r="B49" s="89">
        <v>1</v>
      </c>
      <c r="C49" s="71">
        <f>IFERROR(C23/$B49,0)</f>
        <v>0.14719911696998131</v>
      </c>
      <c r="D49" s="71">
        <f>IFERROR(D23/$B49,0)</f>
        <v>5.4312357617362591E-4</v>
      </c>
      <c r="E49" s="71">
        <f>IFERROR(E23/$B49,0)</f>
        <v>5.0189267911600249E-2</v>
      </c>
      <c r="F49" s="71">
        <f>IFERROR(F23/$B49,0)</f>
        <v>3105.2933525311764</v>
      </c>
      <c r="G49" s="70">
        <f t="shared" ref="G49:G62" si="30">(IF(AND(C49&lt;&gt;0,E49&lt;&gt;0,F49&lt;&gt;0),1/((1/C49)+(1/E49)+(1/F49)),IF(AND(C49&lt;&gt;0,E49&lt;&gt;0,F49=0), 1/((1/C49)+(1/E49)),IF(AND(C49&lt;&gt;0,E49=0,F49&lt;&gt;0),1/((1/C49)+(1/F49)),IF(AND(C49=0,E49&lt;&gt;0,F49&lt;&gt;0),1/((1/E49)+(1/F49)),IF(AND(C49&lt;&gt;0,E49=0,F49=0),1/(1/C49),IF(AND(C49=0,E49&lt;&gt;0,F49=0),1/(1/E49),IF(AND(C49=0,E49=0,F49&lt;&gt;0),1/(1/F49),IF(AND(C49=0,E49=0,F49=0),0)))))))))</f>
        <v>3.7427363716450446E-2</v>
      </c>
      <c r="H49" s="70">
        <f t="shared" ref="H49:H62" si="31">(IF(AND(C49&lt;&gt;0,D49&lt;&gt;0,F49&lt;&gt;0),1/((1/C49)+(1/D49)+(1/F49)),IF(AND(C49&lt;&gt;0,D49&lt;&gt;0,F49=0), 1/((1/C49)+(1/D49)),IF(AND(C49&lt;&gt;0,D49=0,F49&lt;&gt;0),1/((1/C49)+(1/F49)),IF(AND(C49=0,D49&lt;&gt;0,F49&lt;&gt;0),1/((1/D49)+(1/F49)),IF(AND(C49&lt;&gt;0,D49=0,F49=0),1/(1/C49),IF(AND(C49=0,D49&lt;&gt;0,F49=0),1/(1/D49),IF(AND(C49=0,D49=0,F49&lt;&gt;0),1/(1/F49),IF(AND(C49=0,D49=0,F49=0),0)))))))))</f>
        <v>5.4112687469215568E-4</v>
      </c>
    </row>
    <row r="50" spans="1:8">
      <c r="A50" s="65" t="s">
        <v>406</v>
      </c>
      <c r="B50" s="89">
        <v>1</v>
      </c>
      <c r="C50" s="71">
        <f>IFERROR(C25/$B50,0)</f>
        <v>0</v>
      </c>
      <c r="D50" s="71">
        <f>IFERROR(D25/$B50,0)</f>
        <v>3.1600670974010505</v>
      </c>
      <c r="E50" s="71">
        <f>IFERROR(E25/$B50,0)</f>
        <v>292.01725192535656</v>
      </c>
      <c r="F50" s="71">
        <f>IFERROR(F25/$B50,0)</f>
        <v>58712.784869654701</v>
      </c>
      <c r="G50" s="70">
        <f t="shared" si="30"/>
        <v>290.57204624114246</v>
      </c>
      <c r="H50" s="70">
        <f t="shared" si="31"/>
        <v>3.1598970239385378</v>
      </c>
    </row>
    <row r="51" spans="1:8">
      <c r="A51" s="65" t="s">
        <v>407</v>
      </c>
      <c r="B51" s="89">
        <v>1</v>
      </c>
      <c r="C51" s="71">
        <f>IFERROR(C21/$B51,0)</f>
        <v>0</v>
      </c>
      <c r="D51" s="71">
        <f>IFERROR(D21/$B51,0)</f>
        <v>2.7163306414667829</v>
      </c>
      <c r="E51" s="71">
        <f>IFERROR(E21/$B51,0)</f>
        <v>251.01220473898763</v>
      </c>
      <c r="F51" s="71">
        <f>IFERROR(F21/$B51,0)</f>
        <v>3216097357.9226594</v>
      </c>
      <c r="G51" s="70">
        <f t="shared" si="30"/>
        <v>251.01218514781394</v>
      </c>
      <c r="H51" s="70">
        <f t="shared" si="31"/>
        <v>2.7163306391725572</v>
      </c>
    </row>
    <row r="52" spans="1:8">
      <c r="A52" s="65" t="s">
        <v>408</v>
      </c>
      <c r="B52" s="89">
        <v>0.99980000000000002</v>
      </c>
      <c r="C52" s="71">
        <f>IFERROR(C17/$B52,0)</f>
        <v>296.57552195039557</v>
      </c>
      <c r="D52" s="71">
        <f>IFERROR(D17/$B52,0)</f>
        <v>0.44426137347591588</v>
      </c>
      <c r="E52" s="71">
        <f>IFERROR(E17/$B52,0)</f>
        <v>41.053554060835467</v>
      </c>
      <c r="F52" s="71">
        <f>IFERROR(F17/$B52,0)</f>
        <v>87.865604563696905</v>
      </c>
      <c r="G52" s="70">
        <f t="shared" si="30"/>
        <v>25.56807981825731</v>
      </c>
      <c r="H52" s="70">
        <f t="shared" si="31"/>
        <v>0.44136859207480478</v>
      </c>
    </row>
    <row r="53" spans="1:8">
      <c r="A53" s="65" t="s">
        <v>409</v>
      </c>
      <c r="B53" s="89">
        <v>2.0000000000000001E-4</v>
      </c>
      <c r="C53" s="71">
        <f>IFERROR(C5/$B53,0)</f>
        <v>0</v>
      </c>
      <c r="D53" s="71">
        <f>IFERROR(D5/$B53,0)</f>
        <v>0</v>
      </c>
      <c r="E53" s="71">
        <f>IFERROR(E5/$B53,0)</f>
        <v>0</v>
      </c>
      <c r="F53" s="71">
        <f>IFERROR(F5/$B53,0)</f>
        <v>855481897.20742738</v>
      </c>
      <c r="G53" s="70">
        <f t="shared" si="30"/>
        <v>855481897.20742726</v>
      </c>
      <c r="H53" s="70">
        <f t="shared" si="31"/>
        <v>855481897.20742726</v>
      </c>
    </row>
    <row r="54" spans="1:8">
      <c r="A54" s="65" t="s">
        <v>410</v>
      </c>
      <c r="B54" s="89">
        <v>0.99999979999999999</v>
      </c>
      <c r="C54" s="71">
        <f>IFERROR(C9/$B54,0)</f>
        <v>367.9978660245265</v>
      </c>
      <c r="D54" s="71">
        <f>IFERROR(D9/$B54,0)</f>
        <v>0.56553124665753041</v>
      </c>
      <c r="E54" s="71">
        <f>IFERROR(E9/$B54,0)</f>
        <v>52.259928487807706</v>
      </c>
      <c r="F54" s="71">
        <f>IFERROR(F9/$B54,0)</f>
        <v>15.655270938510093</v>
      </c>
      <c r="G54" s="70">
        <f t="shared" si="30"/>
        <v>11.664694576409161</v>
      </c>
      <c r="H54" s="70">
        <f t="shared" si="31"/>
        <v>0.5450058920881139</v>
      </c>
    </row>
    <row r="55" spans="1:8">
      <c r="A55" s="65" t="s">
        <v>411</v>
      </c>
      <c r="B55" s="89">
        <v>1.9999999999999999E-7</v>
      </c>
      <c r="C55" s="71">
        <f>IFERROR(C24/$B55,0)</f>
        <v>0</v>
      </c>
      <c r="D55" s="71">
        <f>IFERROR(D24/$B55,0)</f>
        <v>0</v>
      </c>
      <c r="E55" s="71">
        <f>IFERROR(E24/$B55,0)</f>
        <v>0</v>
      </c>
      <c r="F55" s="71">
        <f>IFERROR(F24/$B55,0)</f>
        <v>150021613287.90469</v>
      </c>
      <c r="G55" s="70">
        <f t="shared" si="30"/>
        <v>150021613287.90469</v>
      </c>
      <c r="H55" s="70">
        <f t="shared" si="31"/>
        <v>150021613287.90469</v>
      </c>
    </row>
    <row r="56" spans="1:8">
      <c r="A56" s="65" t="s">
        <v>412</v>
      </c>
      <c r="B56" s="89">
        <v>0.99979000004200003</v>
      </c>
      <c r="C56" s="71">
        <f>IFERROR(C20/$B56,0)</f>
        <v>0</v>
      </c>
      <c r="D56" s="71">
        <f>IFERROR(D20/$B56,0)</f>
        <v>0</v>
      </c>
      <c r="E56" s="71">
        <f>IFERROR(E20/$B56,0)</f>
        <v>0</v>
      </c>
      <c r="F56" s="71">
        <f>IFERROR(F20/$B56,0)</f>
        <v>278239.14431909285</v>
      </c>
      <c r="G56" s="70">
        <f t="shared" si="30"/>
        <v>278239.14431909285</v>
      </c>
      <c r="H56" s="70">
        <f t="shared" si="31"/>
        <v>278239.14431909285</v>
      </c>
    </row>
    <row r="57" spans="1:8">
      <c r="A57" s="65" t="s">
        <v>413</v>
      </c>
      <c r="B57" s="89">
        <v>2.0999995799999999E-4</v>
      </c>
      <c r="C57" s="71">
        <f>IFERROR(C29/$B57,0)</f>
        <v>0</v>
      </c>
      <c r="D57" s="71">
        <f>IFERROR(D29/$B57,0)</f>
        <v>0</v>
      </c>
      <c r="E57" s="71">
        <f>IFERROR(E29/$B57,0)</f>
        <v>0</v>
      </c>
      <c r="F57" s="71">
        <f>IFERROR(F29/$B57,0)</f>
        <v>39769.311026521544</v>
      </c>
      <c r="G57" s="70">
        <f t="shared" si="30"/>
        <v>39769.311026521544</v>
      </c>
      <c r="H57" s="70">
        <f t="shared" si="31"/>
        <v>39769.311026521544</v>
      </c>
    </row>
    <row r="58" spans="1:8">
      <c r="A58" s="65" t="s">
        <v>414</v>
      </c>
      <c r="B58" s="89">
        <v>1</v>
      </c>
      <c r="C58" s="71">
        <f>IFERROR(C16/$B58,0)</f>
        <v>5.9218035562636162E-2</v>
      </c>
      <c r="D58" s="71">
        <f>IFERROR(D16/$B58,0)</f>
        <v>9.2772352149060459E-4</v>
      </c>
      <c r="E58" s="71">
        <f>IFERROR(E16/$B58,0)</f>
        <v>8.5729595271887643E-2</v>
      </c>
      <c r="F58" s="71">
        <f>IFERROR(F16/$B58,0)</f>
        <v>8870.2040033028225</v>
      </c>
      <c r="G58" s="70">
        <f t="shared" si="30"/>
        <v>3.5024499169569026E-2</v>
      </c>
      <c r="H58" s="70">
        <f t="shared" si="31"/>
        <v>9.134136748331314E-4</v>
      </c>
    </row>
    <row r="59" spans="1:8">
      <c r="A59" s="65" t="s">
        <v>415</v>
      </c>
      <c r="B59" s="89">
        <v>1</v>
      </c>
      <c r="C59" s="71">
        <f>IFERROR(C7/$B59,0)</f>
        <v>31.462406680606691</v>
      </c>
      <c r="D59" s="71">
        <f>IFERROR(D7/$B59,0)</f>
        <v>3.8316252291700999E-2</v>
      </c>
      <c r="E59" s="71">
        <f>IFERROR(E7/$B59,0)</f>
        <v>3.5407497225307019</v>
      </c>
      <c r="F59" s="71">
        <f>IFERROR(F7/$B59,0)</f>
        <v>602.63790578680334</v>
      </c>
      <c r="G59" s="70">
        <f t="shared" si="30"/>
        <v>3.1658654162343214</v>
      </c>
      <c r="H59" s="70">
        <f t="shared" si="31"/>
        <v>3.8267215790969984E-2</v>
      </c>
    </row>
    <row r="60" spans="1:8">
      <c r="A60" s="65" t="s">
        <v>416</v>
      </c>
      <c r="B60" s="91">
        <v>1.9000000000000001E-8</v>
      </c>
      <c r="C60" s="71">
        <f>IFERROR(C12/$B60,0)</f>
        <v>0</v>
      </c>
      <c r="D60" s="71">
        <f>IFERROR(D12/$B60,0)</f>
        <v>0</v>
      </c>
      <c r="E60" s="71">
        <f>IFERROR(E12/$B60,0)</f>
        <v>0</v>
      </c>
      <c r="F60" s="71">
        <f>IFERROR(F12/$B60,0)</f>
        <v>7539173576.3383541</v>
      </c>
      <c r="G60" s="70">
        <f t="shared" si="30"/>
        <v>7539173576.3383541</v>
      </c>
      <c r="H60" s="70">
        <f t="shared" si="31"/>
        <v>7539173576.3383541</v>
      </c>
    </row>
    <row r="61" spans="1:8">
      <c r="A61" s="65" t="s">
        <v>417</v>
      </c>
      <c r="B61" s="89">
        <v>1</v>
      </c>
      <c r="C61" s="71">
        <f>IFERROR(C18/$B61,0)</f>
        <v>3.4062605579830388E-2</v>
      </c>
      <c r="D61" s="71">
        <f>IFERROR(D18/$B61,0)</f>
        <v>1.1953360757667405E-3</v>
      </c>
      <c r="E61" s="71">
        <f>IFERROR(E18/$B61,0)</f>
        <v>0.11045928621570139</v>
      </c>
      <c r="F61" s="71">
        <f>IFERROR(F18/$B61,0)</f>
        <v>2368705.6118447762</v>
      </c>
      <c r="G61" s="70">
        <f t="shared" si="30"/>
        <v>2.6034333005856454E-2</v>
      </c>
      <c r="H61" s="70">
        <f t="shared" si="31"/>
        <v>1.1548110681574848E-3</v>
      </c>
    </row>
    <row r="62" spans="1:8">
      <c r="A62" s="65" t="s">
        <v>418</v>
      </c>
      <c r="B62" s="89">
        <v>1.339E-6</v>
      </c>
      <c r="C62" s="71">
        <f>IFERROR(C27/$B62,0)</f>
        <v>0</v>
      </c>
      <c r="D62" s="71">
        <f>IFERROR(D27/$B62,0)</f>
        <v>0</v>
      </c>
      <c r="E62" s="71">
        <f>IFERROR(E27/$B62,0)</f>
        <v>0</v>
      </c>
      <c r="F62" s="71">
        <f>IFERROR(F27/$B62,0)</f>
        <v>249342940.58218855</v>
      </c>
      <c r="G62" s="70">
        <f t="shared" si="30"/>
        <v>249342940.58218855</v>
      </c>
      <c r="H62" s="70">
        <f t="shared" si="31"/>
        <v>249342940.58218855</v>
      </c>
    </row>
    <row r="63" spans="1:8">
      <c r="A63" s="63" t="s">
        <v>30</v>
      </c>
      <c r="B63" s="82" t="s">
        <v>6</v>
      </c>
      <c r="C63" s="67">
        <f>IFERROR(1/SUM(1/C66,1/C68,1/C72,1/C73,1/C75),0)</f>
        <v>2.1606519190075696E-2</v>
      </c>
      <c r="D63" s="67">
        <f>IFERROR(1/SUM(1/D64,1/D65,1/D66,1/D68,1/D72,1/D73,1/D75),0)</f>
        <v>5.1406097923777973E-4</v>
      </c>
      <c r="E63" s="67">
        <f t="shared" ref="E63" si="32">IFERROR(1/SUM(1/E64,1/E65,1/E66,1/E68,1/E72,1/E73,1/E75),0)</f>
        <v>4.7503635160953947E-2</v>
      </c>
      <c r="F63" s="67">
        <f>IFERROR(1/SUM(1/F64,1/F65,1/F66,1/F67,1/F68,1/F69,1/F70,1/F71,1/F72,1/F73,1/F74,1/F75,1/F76),0)</f>
        <v>12.97427885175358</v>
      </c>
      <c r="G63" s="68">
        <f t="shared" ref="G63:H63" si="33">IFERROR(1/SUM(1/G64,1/G65,1/G66,1/G67,1/G68,1/G69,1/G70,1/G71,1/G72,1/G73,1/G74,1/G75,1/G76),0)</f>
        <v>1.4834501021637969E-2</v>
      </c>
      <c r="H63" s="68">
        <f t="shared" si="33"/>
        <v>5.0209526568448281E-4</v>
      </c>
    </row>
    <row r="64" spans="1:8">
      <c r="A64" s="65" t="s">
        <v>406</v>
      </c>
      <c r="B64" s="89">
        <v>1</v>
      </c>
      <c r="C64" s="72">
        <f>IFERROR(C25/$B64,0)</f>
        <v>0</v>
      </c>
      <c r="D64" s="72">
        <f>IFERROR(D25/$B64,0)</f>
        <v>3.1600670974010505</v>
      </c>
      <c r="E64" s="72">
        <f>IFERROR(E25/$B64,0)</f>
        <v>292.01725192535656</v>
      </c>
      <c r="F64" s="72">
        <f>IFERROR(F25/$B64,0)</f>
        <v>58712.784869654701</v>
      </c>
      <c r="G64" s="70">
        <f t="shared" ref="G64:G76" si="34">(IF(AND(C64&lt;&gt;0,E64&lt;&gt;0,F64&lt;&gt;0),1/((1/C64)+(1/E64)+(1/F64)),IF(AND(C64&lt;&gt;0,E64&lt;&gt;0,F64=0), 1/((1/C64)+(1/E64)),IF(AND(C64&lt;&gt;0,E64=0,F64&lt;&gt;0),1/((1/C64)+(1/F64)),IF(AND(C64=0,E64&lt;&gt;0,F64&lt;&gt;0),1/((1/E64)+(1/F64)),IF(AND(C64&lt;&gt;0,E64=0,F64=0),1/(1/C64),IF(AND(C64=0,E64&lt;&gt;0,F64=0),1/(1/E64),IF(AND(C64=0,E64=0,F64&lt;&gt;0),1/(1/F64),IF(AND(C64=0,E64=0,F64=0),0)))))))))</f>
        <v>290.57204624114246</v>
      </c>
      <c r="H64" s="70">
        <f t="shared" ref="H64:H76" si="35">(IF(AND(C64&lt;&gt;0,D64&lt;&gt;0,F64&lt;&gt;0),1/((1/C64)+(1/D64)+(1/F64)),IF(AND(C64&lt;&gt;0,D64&lt;&gt;0,F64=0), 1/((1/C64)+(1/D64)),IF(AND(C64&lt;&gt;0,D64=0,F64&lt;&gt;0),1/((1/C64)+(1/F64)),IF(AND(C64=0,D64&lt;&gt;0,F64&lt;&gt;0),1/((1/D64)+(1/F64)),IF(AND(C64&lt;&gt;0,D64=0,F64=0),1/(1/C64),IF(AND(C64=0,D64&lt;&gt;0,F64=0),1/(1/D64),IF(AND(C64=0,D64=0,F64&lt;&gt;0),1/(1/F64),IF(AND(C64=0,D64=0,F64=0),0)))))))))</f>
        <v>3.1598970239385378</v>
      </c>
    </row>
    <row r="65" spans="1:8">
      <c r="A65" s="65" t="s">
        <v>407</v>
      </c>
      <c r="B65" s="89">
        <v>1</v>
      </c>
      <c r="C65" s="72">
        <f>IFERROR(C21/$B65,0)</f>
        <v>0</v>
      </c>
      <c r="D65" s="72">
        <f>IFERROR(D21/$B65,0)</f>
        <v>2.7163306414667829</v>
      </c>
      <c r="E65" s="72">
        <f>IFERROR(E21/$B65,0)</f>
        <v>251.01220473898763</v>
      </c>
      <c r="F65" s="72">
        <f>IFERROR(F21/$B65,0)</f>
        <v>3216097357.9226594</v>
      </c>
      <c r="G65" s="70">
        <f t="shared" si="34"/>
        <v>251.01218514781394</v>
      </c>
      <c r="H65" s="70">
        <f t="shared" si="35"/>
        <v>2.7163306391725572</v>
      </c>
    </row>
    <row r="66" spans="1:8">
      <c r="A66" s="65" t="s">
        <v>408</v>
      </c>
      <c r="B66" s="89">
        <v>0.99980000000000002</v>
      </c>
      <c r="C66" s="72">
        <f>IFERROR(C17/$B66,0)</f>
        <v>296.57552195039557</v>
      </c>
      <c r="D66" s="72">
        <f>IFERROR(D17/$B66,0)</f>
        <v>0.44426137347591588</v>
      </c>
      <c r="E66" s="72">
        <f>IFERROR(E17/$B66,0)</f>
        <v>41.053554060835467</v>
      </c>
      <c r="F66" s="72">
        <f>IFERROR(F17/$B66,0)</f>
        <v>87.865604563696905</v>
      </c>
      <c r="G66" s="70">
        <f t="shared" si="34"/>
        <v>25.56807981825731</v>
      </c>
      <c r="H66" s="70">
        <f t="shared" si="35"/>
        <v>0.44136859207480478</v>
      </c>
    </row>
    <row r="67" spans="1:8">
      <c r="A67" s="65" t="s">
        <v>409</v>
      </c>
      <c r="B67" s="89">
        <v>2.0000000000000001E-4</v>
      </c>
      <c r="C67" s="72">
        <f>IFERROR(C5/$B67,0)</f>
        <v>0</v>
      </c>
      <c r="D67" s="72">
        <f>IFERROR(D5/$B67,0)</f>
        <v>0</v>
      </c>
      <c r="E67" s="72">
        <f>IFERROR(E5/$B67,0)</f>
        <v>0</v>
      </c>
      <c r="F67" s="72">
        <f>IFERROR(F5/$B67,0)</f>
        <v>855481897.20742738</v>
      </c>
      <c r="G67" s="70">
        <f t="shared" si="34"/>
        <v>855481897.20742726</v>
      </c>
      <c r="H67" s="70">
        <f t="shared" si="35"/>
        <v>855481897.20742726</v>
      </c>
    </row>
    <row r="68" spans="1:8">
      <c r="A68" s="65" t="s">
        <v>410</v>
      </c>
      <c r="B68" s="89">
        <v>0.99999979999999999</v>
      </c>
      <c r="C68" s="72">
        <f>IFERROR(C9/$B68,0)</f>
        <v>367.9978660245265</v>
      </c>
      <c r="D68" s="72">
        <f>IFERROR(D9/$B68,0)</f>
        <v>0.56553124665753041</v>
      </c>
      <c r="E68" s="72">
        <f>IFERROR(E9/$B68,0)</f>
        <v>52.259928487807706</v>
      </c>
      <c r="F68" s="72">
        <f>IFERROR(F9/$B68,0)</f>
        <v>15.655270938510093</v>
      </c>
      <c r="G68" s="70">
        <f t="shared" si="34"/>
        <v>11.664694576409161</v>
      </c>
      <c r="H68" s="70">
        <f t="shared" si="35"/>
        <v>0.5450058920881139</v>
      </c>
    </row>
    <row r="69" spans="1:8">
      <c r="A69" s="65" t="s">
        <v>411</v>
      </c>
      <c r="B69" s="89">
        <v>1.9999999999999999E-7</v>
      </c>
      <c r="C69" s="72">
        <f>IFERROR(C24/$B69,0)</f>
        <v>0</v>
      </c>
      <c r="D69" s="72">
        <f>IFERROR(D24/$B69,0)</f>
        <v>0</v>
      </c>
      <c r="E69" s="72">
        <f>IFERROR(E24/$B69,0)</f>
        <v>0</v>
      </c>
      <c r="F69" s="72">
        <f>IFERROR(F24/$B69,0)</f>
        <v>150021613287.90469</v>
      </c>
      <c r="G69" s="70">
        <f t="shared" si="34"/>
        <v>150021613287.90469</v>
      </c>
      <c r="H69" s="70">
        <f t="shared" si="35"/>
        <v>150021613287.90469</v>
      </c>
    </row>
    <row r="70" spans="1:8">
      <c r="A70" s="65" t="s">
        <v>412</v>
      </c>
      <c r="B70" s="89">
        <v>0.99979000004200003</v>
      </c>
      <c r="C70" s="72">
        <f>IFERROR(C20/$B70,0)</f>
        <v>0</v>
      </c>
      <c r="D70" s="72">
        <f>IFERROR(D20/$B70,0)</f>
        <v>0</v>
      </c>
      <c r="E70" s="72">
        <f>IFERROR(E20/$B70,0)</f>
        <v>0</v>
      </c>
      <c r="F70" s="72">
        <f>IFERROR(F20/$B70,0)</f>
        <v>278239.14431909285</v>
      </c>
      <c r="G70" s="70">
        <f t="shared" si="34"/>
        <v>278239.14431909285</v>
      </c>
      <c r="H70" s="70">
        <f t="shared" si="35"/>
        <v>278239.14431909285</v>
      </c>
    </row>
    <row r="71" spans="1:8">
      <c r="A71" s="65" t="s">
        <v>413</v>
      </c>
      <c r="B71" s="89">
        <v>2.0999995799999999E-4</v>
      </c>
      <c r="C71" s="72">
        <f>IFERROR(C29/$B71,0)</f>
        <v>0</v>
      </c>
      <c r="D71" s="72">
        <f>IFERROR(D29/$B71,0)</f>
        <v>0</v>
      </c>
      <c r="E71" s="72">
        <f>IFERROR(E29/$B71,0)</f>
        <v>0</v>
      </c>
      <c r="F71" s="72">
        <f>IFERROR(F29/$B71,0)</f>
        <v>39769.311026521544</v>
      </c>
      <c r="G71" s="70">
        <f t="shared" si="34"/>
        <v>39769.311026521544</v>
      </c>
      <c r="H71" s="70">
        <f t="shared" si="35"/>
        <v>39769.311026521544</v>
      </c>
    </row>
    <row r="72" spans="1:8">
      <c r="A72" s="65" t="s">
        <v>414</v>
      </c>
      <c r="B72" s="89">
        <v>1</v>
      </c>
      <c r="C72" s="72">
        <f>IFERROR(C16/$B72,0)</f>
        <v>5.9218035562636162E-2</v>
      </c>
      <c r="D72" s="72">
        <f>IFERROR(D16/$B72,0)</f>
        <v>9.2772352149060459E-4</v>
      </c>
      <c r="E72" s="72">
        <f>IFERROR(E16/$B72,0)</f>
        <v>8.5729595271887643E-2</v>
      </c>
      <c r="F72" s="72">
        <f>IFERROR(F16/$B72,0)</f>
        <v>8870.2040033028225</v>
      </c>
      <c r="G72" s="70">
        <f t="shared" si="34"/>
        <v>3.5024499169569026E-2</v>
      </c>
      <c r="H72" s="70">
        <f t="shared" si="35"/>
        <v>9.134136748331314E-4</v>
      </c>
    </row>
    <row r="73" spans="1:8">
      <c r="A73" s="65" t="s">
        <v>415</v>
      </c>
      <c r="B73" s="89">
        <v>1</v>
      </c>
      <c r="C73" s="72">
        <f>IFERROR(C7/$B73,0)</f>
        <v>31.462406680606691</v>
      </c>
      <c r="D73" s="72">
        <f>IFERROR(D7/$B73,0)</f>
        <v>3.8316252291700999E-2</v>
      </c>
      <c r="E73" s="72">
        <f>IFERROR(E7/$B73,0)</f>
        <v>3.5407497225307019</v>
      </c>
      <c r="F73" s="72">
        <f>IFERROR(F7/$B73,0)</f>
        <v>602.63790578680334</v>
      </c>
      <c r="G73" s="70">
        <f t="shared" si="34"/>
        <v>3.1658654162343214</v>
      </c>
      <c r="H73" s="70">
        <f t="shared" si="35"/>
        <v>3.8267215790969984E-2</v>
      </c>
    </row>
    <row r="74" spans="1:8">
      <c r="A74" s="65" t="s">
        <v>416</v>
      </c>
      <c r="B74" s="91">
        <v>1.9000000000000001E-8</v>
      </c>
      <c r="C74" s="72">
        <f>IFERROR(C12/$B74,0)</f>
        <v>0</v>
      </c>
      <c r="D74" s="72">
        <f>IFERROR(D12/$B74,0)</f>
        <v>0</v>
      </c>
      <c r="E74" s="72">
        <f>IFERROR(E12/$B74,0)</f>
        <v>0</v>
      </c>
      <c r="F74" s="72">
        <f>IFERROR(F12/$B74,0)</f>
        <v>7539173576.3383541</v>
      </c>
      <c r="G74" s="70">
        <f t="shared" si="34"/>
        <v>7539173576.3383541</v>
      </c>
      <c r="H74" s="70">
        <f t="shared" si="35"/>
        <v>7539173576.3383541</v>
      </c>
    </row>
    <row r="75" spans="1:8">
      <c r="A75" s="65" t="s">
        <v>417</v>
      </c>
      <c r="B75" s="89">
        <v>1</v>
      </c>
      <c r="C75" s="72">
        <f>IFERROR(C18/$B75,0)</f>
        <v>3.4062605579830388E-2</v>
      </c>
      <c r="D75" s="72">
        <f>IFERROR(D18/$B75,0)</f>
        <v>1.1953360757667405E-3</v>
      </c>
      <c r="E75" s="72">
        <f>IFERROR(E18/$B75,0)</f>
        <v>0.11045928621570139</v>
      </c>
      <c r="F75" s="72">
        <f>IFERROR(F18/$B75,0)</f>
        <v>2368705.6118447762</v>
      </c>
      <c r="G75" s="70">
        <f t="shared" si="34"/>
        <v>2.6034333005856454E-2</v>
      </c>
      <c r="H75" s="70">
        <f t="shared" si="35"/>
        <v>1.1548110681574848E-3</v>
      </c>
    </row>
    <row r="76" spans="1:8">
      <c r="A76" s="65" t="s">
        <v>418</v>
      </c>
      <c r="B76" s="89">
        <v>1.339E-6</v>
      </c>
      <c r="C76" s="72">
        <f>IFERROR(C27/$B76,0)</f>
        <v>0</v>
      </c>
      <c r="D76" s="72">
        <f>IFERROR(D27/$B76,0)</f>
        <v>0</v>
      </c>
      <c r="E76" s="72">
        <f>IFERROR(E27/$B76,0)</f>
        <v>0</v>
      </c>
      <c r="F76" s="72">
        <f>IFERROR(F27/$B76,0)</f>
        <v>249342940.58218855</v>
      </c>
      <c r="G76" s="70">
        <f t="shared" si="34"/>
        <v>249342940.58218855</v>
      </c>
      <c r="H76" s="70">
        <f t="shared" si="35"/>
        <v>249342940.58218855</v>
      </c>
    </row>
  </sheetData>
  <sheetProtection algorithmName="SHA-512" hashValue="fgyo+HJe/EZvhENawSE+hHrwzpZ5gFXet8PXhjrigxFphDKYsd5yUcnM/OmwH6J0pHDq4xDI4Ud6DGlftqINWA==" saltValue="dQdTZrwxf7iXPcT9C8mc2A==" spinCount="100000" sheet="1" objects="1" scenarios="1"/>
  <autoFilter ref="A1:H76" xr:uid="{00000000-0009-0000-0000-00000D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I76"/>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4.25"/>
  <cols>
    <col min="1" max="1" width="12.59765625" style="4" bestFit="1" customWidth="1"/>
    <col min="2" max="2" width="12" style="77" bestFit="1" customWidth="1"/>
    <col min="3" max="3" width="8.1328125" style="4" bestFit="1" customWidth="1"/>
    <col min="4" max="4" width="15" style="4" bestFit="1" customWidth="1"/>
    <col min="5" max="5" width="17.86328125" style="4" bestFit="1" customWidth="1"/>
    <col min="6" max="6" width="17.73046875" style="4" bestFit="1" customWidth="1"/>
    <col min="7" max="7" width="15" style="4" bestFit="1" customWidth="1"/>
    <col min="8" max="8" width="16.59765625" style="4" bestFit="1" customWidth="1"/>
    <col min="9" max="9" width="16.73046875" style="4" bestFit="1" customWidth="1"/>
    <col min="10" max="246" width="9.1328125" style="4"/>
    <col min="247" max="247" width="15.3984375" style="4" bestFit="1" customWidth="1"/>
    <col min="248" max="248" width="11.1328125" style="4" bestFit="1" customWidth="1"/>
    <col min="249" max="249" width="14.59765625" style="4" bestFit="1" customWidth="1"/>
    <col min="250" max="250" width="17.3984375" style="4" bestFit="1" customWidth="1"/>
    <col min="251" max="251" width="17.59765625" style="4" bestFit="1" customWidth="1"/>
    <col min="252" max="252" width="14.73046875" style="4" bestFit="1" customWidth="1"/>
    <col min="253" max="253" width="14.3984375" style="4" bestFit="1" customWidth="1"/>
    <col min="254" max="254" width="12.1328125" style="4" bestFit="1" customWidth="1"/>
    <col min="255" max="255" width="12.3984375" style="4" bestFit="1" customWidth="1"/>
    <col min="256" max="257" width="13.86328125" style="4" bestFit="1" customWidth="1"/>
    <col min="258" max="258" width="14.86328125" style="4" bestFit="1" customWidth="1"/>
    <col min="259" max="259" width="12.1328125" style="4" bestFit="1" customWidth="1"/>
    <col min="260" max="260" width="12.3984375" style="4" bestFit="1" customWidth="1"/>
    <col min="261" max="262" width="13.86328125" style="4" bestFit="1" customWidth="1"/>
    <col min="263" max="263" width="14.86328125" style="4" bestFit="1" customWidth="1"/>
    <col min="264" max="502" width="9.1328125" style="4"/>
    <col min="503" max="503" width="15.3984375" style="4" bestFit="1" customWidth="1"/>
    <col min="504" max="504" width="11.1328125" style="4" bestFit="1" customWidth="1"/>
    <col min="505" max="505" width="14.59765625" style="4" bestFit="1" customWidth="1"/>
    <col min="506" max="506" width="17.3984375" style="4" bestFit="1" customWidth="1"/>
    <col min="507" max="507" width="17.59765625" style="4" bestFit="1" customWidth="1"/>
    <col min="508" max="508" width="14.73046875" style="4" bestFit="1" customWidth="1"/>
    <col min="509" max="509" width="14.3984375" style="4" bestFit="1" customWidth="1"/>
    <col min="510" max="510" width="12.1328125" style="4" bestFit="1" customWidth="1"/>
    <col min="511" max="511" width="12.3984375" style="4" bestFit="1" customWidth="1"/>
    <col min="512" max="513" width="13.86328125" style="4" bestFit="1" customWidth="1"/>
    <col min="514" max="514" width="14.86328125" style="4" bestFit="1" customWidth="1"/>
    <col min="515" max="515" width="12.1328125" style="4" bestFit="1" customWidth="1"/>
    <col min="516" max="516" width="12.3984375" style="4" bestFit="1" customWidth="1"/>
    <col min="517" max="518" width="13.86328125" style="4" bestFit="1" customWidth="1"/>
    <col min="519" max="519" width="14.86328125" style="4" bestFit="1" customWidth="1"/>
    <col min="520" max="758" width="9.1328125" style="4"/>
    <col min="759" max="759" width="15.3984375" style="4" bestFit="1" customWidth="1"/>
    <col min="760" max="760" width="11.1328125" style="4" bestFit="1" customWidth="1"/>
    <col min="761" max="761" width="14.59765625" style="4" bestFit="1" customWidth="1"/>
    <col min="762" max="762" width="17.3984375" style="4" bestFit="1" customWidth="1"/>
    <col min="763" max="763" width="17.59765625" style="4" bestFit="1" customWidth="1"/>
    <col min="764" max="764" width="14.73046875" style="4" bestFit="1" customWidth="1"/>
    <col min="765" max="765" width="14.3984375" style="4" bestFit="1" customWidth="1"/>
    <col min="766" max="766" width="12.1328125" style="4" bestFit="1" customWidth="1"/>
    <col min="767" max="767" width="12.3984375" style="4" bestFit="1" customWidth="1"/>
    <col min="768" max="769" width="13.86328125" style="4" bestFit="1" customWidth="1"/>
    <col min="770" max="770" width="14.86328125" style="4" bestFit="1" customWidth="1"/>
    <col min="771" max="771" width="12.1328125" style="4" bestFit="1" customWidth="1"/>
    <col min="772" max="772" width="12.3984375" style="4" bestFit="1" customWidth="1"/>
    <col min="773" max="774" width="13.86328125" style="4" bestFit="1" customWidth="1"/>
    <col min="775" max="775" width="14.86328125" style="4" bestFit="1" customWidth="1"/>
    <col min="776" max="1014" width="9.1328125" style="4"/>
    <col min="1015" max="1015" width="15.3984375" style="4" bestFit="1" customWidth="1"/>
    <col min="1016" max="1016" width="11.1328125" style="4" bestFit="1" customWidth="1"/>
    <col min="1017" max="1017" width="14.59765625" style="4" bestFit="1" customWidth="1"/>
    <col min="1018" max="1018" width="17.3984375" style="4" bestFit="1" customWidth="1"/>
    <col min="1019" max="1019" width="17.59765625" style="4" bestFit="1" customWidth="1"/>
    <col min="1020" max="1020" width="14.73046875" style="4" bestFit="1" customWidth="1"/>
    <col min="1021" max="1021" width="14.3984375" style="4" bestFit="1" customWidth="1"/>
    <col min="1022" max="1022" width="12.1328125" style="4" bestFit="1" customWidth="1"/>
    <col min="1023" max="1023" width="12.3984375" style="4" bestFit="1" customWidth="1"/>
    <col min="1024" max="1025" width="13.86328125" style="4" bestFit="1" customWidth="1"/>
    <col min="1026" max="1026" width="14.86328125" style="4" bestFit="1" customWidth="1"/>
    <col min="1027" max="1027" width="12.1328125" style="4" bestFit="1" customWidth="1"/>
    <col min="1028" max="1028" width="12.3984375" style="4" bestFit="1" customWidth="1"/>
    <col min="1029" max="1030" width="13.86328125" style="4" bestFit="1" customWidth="1"/>
    <col min="1031" max="1031" width="14.86328125" style="4" bestFit="1" customWidth="1"/>
    <col min="1032" max="1270" width="9.1328125" style="4"/>
    <col min="1271" max="1271" width="15.3984375" style="4" bestFit="1" customWidth="1"/>
    <col min="1272" max="1272" width="11.1328125" style="4" bestFit="1" customWidth="1"/>
    <col min="1273" max="1273" width="14.59765625" style="4" bestFit="1" customWidth="1"/>
    <col min="1274" max="1274" width="17.3984375" style="4" bestFit="1" customWidth="1"/>
    <col min="1275" max="1275" width="17.59765625" style="4" bestFit="1" customWidth="1"/>
    <col min="1276" max="1276" width="14.73046875" style="4" bestFit="1" customWidth="1"/>
    <col min="1277" max="1277" width="14.3984375" style="4" bestFit="1" customWidth="1"/>
    <col min="1278" max="1278" width="12.1328125" style="4" bestFit="1" customWidth="1"/>
    <col min="1279" max="1279" width="12.3984375" style="4" bestFit="1" customWidth="1"/>
    <col min="1280" max="1281" width="13.86328125" style="4" bestFit="1" customWidth="1"/>
    <col min="1282" max="1282" width="14.86328125" style="4" bestFit="1" customWidth="1"/>
    <col min="1283" max="1283" width="12.1328125" style="4" bestFit="1" customWidth="1"/>
    <col min="1284" max="1284" width="12.3984375" style="4" bestFit="1" customWidth="1"/>
    <col min="1285" max="1286" width="13.86328125" style="4" bestFit="1" customWidth="1"/>
    <col min="1287" max="1287" width="14.86328125" style="4" bestFit="1" customWidth="1"/>
    <col min="1288" max="1526" width="9.1328125" style="4"/>
    <col min="1527" max="1527" width="15.3984375" style="4" bestFit="1" customWidth="1"/>
    <col min="1528" max="1528" width="11.1328125" style="4" bestFit="1" customWidth="1"/>
    <col min="1529" max="1529" width="14.59765625" style="4" bestFit="1" customWidth="1"/>
    <col min="1530" max="1530" width="17.3984375" style="4" bestFit="1" customWidth="1"/>
    <col min="1531" max="1531" width="17.59765625" style="4" bestFit="1" customWidth="1"/>
    <col min="1532" max="1532" width="14.73046875" style="4" bestFit="1" customWidth="1"/>
    <col min="1533" max="1533" width="14.3984375" style="4" bestFit="1" customWidth="1"/>
    <col min="1534" max="1534" width="12.1328125" style="4" bestFit="1" customWidth="1"/>
    <col min="1535" max="1535" width="12.3984375" style="4" bestFit="1" customWidth="1"/>
    <col min="1536" max="1537" width="13.86328125" style="4" bestFit="1" customWidth="1"/>
    <col min="1538" max="1538" width="14.86328125" style="4" bestFit="1" customWidth="1"/>
    <col min="1539" max="1539" width="12.1328125" style="4" bestFit="1" customWidth="1"/>
    <col min="1540" max="1540" width="12.3984375" style="4" bestFit="1" customWidth="1"/>
    <col min="1541" max="1542" width="13.86328125" style="4" bestFit="1" customWidth="1"/>
    <col min="1543" max="1543" width="14.86328125" style="4" bestFit="1" customWidth="1"/>
    <col min="1544" max="1782" width="9.1328125" style="4"/>
    <col min="1783" max="1783" width="15.3984375" style="4" bestFit="1" customWidth="1"/>
    <col min="1784" max="1784" width="11.1328125" style="4" bestFit="1" customWidth="1"/>
    <col min="1785" max="1785" width="14.59765625" style="4" bestFit="1" customWidth="1"/>
    <col min="1786" max="1786" width="17.3984375" style="4" bestFit="1" customWidth="1"/>
    <col min="1787" max="1787" width="17.59765625" style="4" bestFit="1" customWidth="1"/>
    <col min="1788" max="1788" width="14.73046875" style="4" bestFit="1" customWidth="1"/>
    <col min="1789" max="1789" width="14.3984375" style="4" bestFit="1" customWidth="1"/>
    <col min="1790" max="1790" width="12.1328125" style="4" bestFit="1" customWidth="1"/>
    <col min="1791" max="1791" width="12.3984375" style="4" bestFit="1" customWidth="1"/>
    <col min="1792" max="1793" width="13.86328125" style="4" bestFit="1" customWidth="1"/>
    <col min="1794" max="1794" width="14.86328125" style="4" bestFit="1" customWidth="1"/>
    <col min="1795" max="1795" width="12.1328125" style="4" bestFit="1" customWidth="1"/>
    <col min="1796" max="1796" width="12.3984375" style="4" bestFit="1" customWidth="1"/>
    <col min="1797" max="1798" width="13.86328125" style="4" bestFit="1" customWidth="1"/>
    <col min="1799" max="1799" width="14.86328125" style="4" bestFit="1" customWidth="1"/>
    <col min="1800" max="2038" width="9.1328125" style="4"/>
    <col min="2039" max="2039" width="15.3984375" style="4" bestFit="1" customWidth="1"/>
    <col min="2040" max="2040" width="11.1328125" style="4" bestFit="1" customWidth="1"/>
    <col min="2041" max="2041" width="14.59765625" style="4" bestFit="1" customWidth="1"/>
    <col min="2042" max="2042" width="17.3984375" style="4" bestFit="1" customWidth="1"/>
    <col min="2043" max="2043" width="17.59765625" style="4" bestFit="1" customWidth="1"/>
    <col min="2044" max="2044" width="14.73046875" style="4" bestFit="1" customWidth="1"/>
    <col min="2045" max="2045" width="14.3984375" style="4" bestFit="1" customWidth="1"/>
    <col min="2046" max="2046" width="12.1328125" style="4" bestFit="1" customWidth="1"/>
    <col min="2047" max="2047" width="12.3984375" style="4" bestFit="1" customWidth="1"/>
    <col min="2048" max="2049" width="13.86328125" style="4" bestFit="1" customWidth="1"/>
    <col min="2050" max="2050" width="14.86328125" style="4" bestFit="1" customWidth="1"/>
    <col min="2051" max="2051" width="12.1328125" style="4" bestFit="1" customWidth="1"/>
    <col min="2052" max="2052" width="12.3984375" style="4" bestFit="1" customWidth="1"/>
    <col min="2053" max="2054" width="13.86328125" style="4" bestFit="1" customWidth="1"/>
    <col min="2055" max="2055" width="14.86328125" style="4" bestFit="1" customWidth="1"/>
    <col min="2056" max="2294" width="9.1328125" style="4"/>
    <col min="2295" max="2295" width="15.3984375" style="4" bestFit="1" customWidth="1"/>
    <col min="2296" max="2296" width="11.1328125" style="4" bestFit="1" customWidth="1"/>
    <col min="2297" max="2297" width="14.59765625" style="4" bestFit="1" customWidth="1"/>
    <col min="2298" max="2298" width="17.3984375" style="4" bestFit="1" customWidth="1"/>
    <col min="2299" max="2299" width="17.59765625" style="4" bestFit="1" customWidth="1"/>
    <col min="2300" max="2300" width="14.73046875" style="4" bestFit="1" customWidth="1"/>
    <col min="2301" max="2301" width="14.3984375" style="4" bestFit="1" customWidth="1"/>
    <col min="2302" max="2302" width="12.1328125" style="4" bestFit="1" customWidth="1"/>
    <col min="2303" max="2303" width="12.3984375" style="4" bestFit="1" customWidth="1"/>
    <col min="2304" max="2305" width="13.86328125" style="4" bestFit="1" customWidth="1"/>
    <col min="2306" max="2306" width="14.86328125" style="4" bestFit="1" customWidth="1"/>
    <col min="2307" max="2307" width="12.1328125" style="4" bestFit="1" customWidth="1"/>
    <col min="2308" max="2308" width="12.3984375" style="4" bestFit="1" customWidth="1"/>
    <col min="2309" max="2310" width="13.86328125" style="4" bestFit="1" customWidth="1"/>
    <col min="2311" max="2311" width="14.86328125" style="4" bestFit="1" customWidth="1"/>
    <col min="2312" max="2550" width="9.1328125" style="4"/>
    <col min="2551" max="2551" width="15.3984375" style="4" bestFit="1" customWidth="1"/>
    <col min="2552" max="2552" width="11.1328125" style="4" bestFit="1" customWidth="1"/>
    <col min="2553" max="2553" width="14.59765625" style="4" bestFit="1" customWidth="1"/>
    <col min="2554" max="2554" width="17.3984375" style="4" bestFit="1" customWidth="1"/>
    <col min="2555" max="2555" width="17.59765625" style="4" bestFit="1" customWidth="1"/>
    <col min="2556" max="2556" width="14.73046875" style="4" bestFit="1" customWidth="1"/>
    <col min="2557" max="2557" width="14.3984375" style="4" bestFit="1" customWidth="1"/>
    <col min="2558" max="2558" width="12.1328125" style="4" bestFit="1" customWidth="1"/>
    <col min="2559" max="2559" width="12.3984375" style="4" bestFit="1" customWidth="1"/>
    <col min="2560" max="2561" width="13.86328125" style="4" bestFit="1" customWidth="1"/>
    <col min="2562" max="2562" width="14.86328125" style="4" bestFit="1" customWidth="1"/>
    <col min="2563" max="2563" width="12.1328125" style="4" bestFit="1" customWidth="1"/>
    <col min="2564" max="2564" width="12.3984375" style="4" bestFit="1" customWidth="1"/>
    <col min="2565" max="2566" width="13.86328125" style="4" bestFit="1" customWidth="1"/>
    <col min="2567" max="2567" width="14.86328125" style="4" bestFit="1" customWidth="1"/>
    <col min="2568" max="2806" width="9.1328125" style="4"/>
    <col min="2807" max="2807" width="15.3984375" style="4" bestFit="1" customWidth="1"/>
    <col min="2808" max="2808" width="11.1328125" style="4" bestFit="1" customWidth="1"/>
    <col min="2809" max="2809" width="14.59765625" style="4" bestFit="1" customWidth="1"/>
    <col min="2810" max="2810" width="17.3984375" style="4" bestFit="1" customWidth="1"/>
    <col min="2811" max="2811" width="17.59765625" style="4" bestFit="1" customWidth="1"/>
    <col min="2812" max="2812" width="14.73046875" style="4" bestFit="1" customWidth="1"/>
    <col min="2813" max="2813" width="14.3984375" style="4" bestFit="1" customWidth="1"/>
    <col min="2814" max="2814" width="12.1328125" style="4" bestFit="1" customWidth="1"/>
    <col min="2815" max="2815" width="12.3984375" style="4" bestFit="1" customWidth="1"/>
    <col min="2816" max="2817" width="13.86328125" style="4" bestFit="1" customWidth="1"/>
    <col min="2818" max="2818" width="14.86328125" style="4" bestFit="1" customWidth="1"/>
    <col min="2819" max="2819" width="12.1328125" style="4" bestFit="1" customWidth="1"/>
    <col min="2820" max="2820" width="12.3984375" style="4" bestFit="1" customWidth="1"/>
    <col min="2821" max="2822" width="13.86328125" style="4" bestFit="1" customWidth="1"/>
    <col min="2823" max="2823" width="14.86328125" style="4" bestFit="1" customWidth="1"/>
    <col min="2824" max="3062" width="9.1328125" style="4"/>
    <col min="3063" max="3063" width="15.3984375" style="4" bestFit="1" customWidth="1"/>
    <col min="3064" max="3064" width="11.1328125" style="4" bestFit="1" customWidth="1"/>
    <col min="3065" max="3065" width="14.59765625" style="4" bestFit="1" customWidth="1"/>
    <col min="3066" max="3066" width="17.3984375" style="4" bestFit="1" customWidth="1"/>
    <col min="3067" max="3067" width="17.59765625" style="4" bestFit="1" customWidth="1"/>
    <col min="3068" max="3068" width="14.73046875" style="4" bestFit="1" customWidth="1"/>
    <col min="3069" max="3069" width="14.3984375" style="4" bestFit="1" customWidth="1"/>
    <col min="3070" max="3070" width="12.1328125" style="4" bestFit="1" customWidth="1"/>
    <col min="3071" max="3071" width="12.3984375" style="4" bestFit="1" customWidth="1"/>
    <col min="3072" max="3073" width="13.86328125" style="4" bestFit="1" customWidth="1"/>
    <col min="3074" max="3074" width="14.86328125" style="4" bestFit="1" customWidth="1"/>
    <col min="3075" max="3075" width="12.1328125" style="4" bestFit="1" customWidth="1"/>
    <col min="3076" max="3076" width="12.3984375" style="4" bestFit="1" customWidth="1"/>
    <col min="3077" max="3078" width="13.86328125" style="4" bestFit="1" customWidth="1"/>
    <col min="3079" max="3079" width="14.86328125" style="4" bestFit="1" customWidth="1"/>
    <col min="3080" max="3318" width="9.1328125" style="4"/>
    <col min="3319" max="3319" width="15.3984375" style="4" bestFit="1" customWidth="1"/>
    <col min="3320" max="3320" width="11.1328125" style="4" bestFit="1" customWidth="1"/>
    <col min="3321" max="3321" width="14.59765625" style="4" bestFit="1" customWidth="1"/>
    <col min="3322" max="3322" width="17.3984375" style="4" bestFit="1" customWidth="1"/>
    <col min="3323" max="3323" width="17.59765625" style="4" bestFit="1" customWidth="1"/>
    <col min="3324" max="3324" width="14.73046875" style="4" bestFit="1" customWidth="1"/>
    <col min="3325" max="3325" width="14.3984375" style="4" bestFit="1" customWidth="1"/>
    <col min="3326" max="3326" width="12.1328125" style="4" bestFit="1" customWidth="1"/>
    <col min="3327" max="3327" width="12.3984375" style="4" bestFit="1" customWidth="1"/>
    <col min="3328" max="3329" width="13.86328125" style="4" bestFit="1" customWidth="1"/>
    <col min="3330" max="3330" width="14.86328125" style="4" bestFit="1" customWidth="1"/>
    <col min="3331" max="3331" width="12.1328125" style="4" bestFit="1" customWidth="1"/>
    <col min="3332" max="3332" width="12.3984375" style="4" bestFit="1" customWidth="1"/>
    <col min="3333" max="3334" width="13.86328125" style="4" bestFit="1" customWidth="1"/>
    <col min="3335" max="3335" width="14.86328125" style="4" bestFit="1" customWidth="1"/>
    <col min="3336" max="3574" width="9.1328125" style="4"/>
    <col min="3575" max="3575" width="15.3984375" style="4" bestFit="1" customWidth="1"/>
    <col min="3576" max="3576" width="11.1328125" style="4" bestFit="1" customWidth="1"/>
    <col min="3577" max="3577" width="14.59765625" style="4" bestFit="1" customWidth="1"/>
    <col min="3578" max="3578" width="17.3984375" style="4" bestFit="1" customWidth="1"/>
    <col min="3579" max="3579" width="17.59765625" style="4" bestFit="1" customWidth="1"/>
    <col min="3580" max="3580" width="14.73046875" style="4" bestFit="1" customWidth="1"/>
    <col min="3581" max="3581" width="14.3984375" style="4" bestFit="1" customWidth="1"/>
    <col min="3582" max="3582" width="12.1328125" style="4" bestFit="1" customWidth="1"/>
    <col min="3583" max="3583" width="12.3984375" style="4" bestFit="1" customWidth="1"/>
    <col min="3584" max="3585" width="13.86328125" style="4" bestFit="1" customWidth="1"/>
    <col min="3586" max="3586" width="14.86328125" style="4" bestFit="1" customWidth="1"/>
    <col min="3587" max="3587" width="12.1328125" style="4" bestFit="1" customWidth="1"/>
    <col min="3588" max="3588" width="12.3984375" style="4" bestFit="1" customWidth="1"/>
    <col min="3589" max="3590" width="13.86328125" style="4" bestFit="1" customWidth="1"/>
    <col min="3591" max="3591" width="14.86328125" style="4" bestFit="1" customWidth="1"/>
    <col min="3592" max="3830" width="9.1328125" style="4"/>
    <col min="3831" max="3831" width="15.3984375" style="4" bestFit="1" customWidth="1"/>
    <col min="3832" max="3832" width="11.1328125" style="4" bestFit="1" customWidth="1"/>
    <col min="3833" max="3833" width="14.59765625" style="4" bestFit="1" customWidth="1"/>
    <col min="3834" max="3834" width="17.3984375" style="4" bestFit="1" customWidth="1"/>
    <col min="3835" max="3835" width="17.59765625" style="4" bestFit="1" customWidth="1"/>
    <col min="3836" max="3836" width="14.73046875" style="4" bestFit="1" customWidth="1"/>
    <col min="3837" max="3837" width="14.3984375" style="4" bestFit="1" customWidth="1"/>
    <col min="3838" max="3838" width="12.1328125" style="4" bestFit="1" customWidth="1"/>
    <col min="3839" max="3839" width="12.3984375" style="4" bestFit="1" customWidth="1"/>
    <col min="3840" max="3841" width="13.86328125" style="4" bestFit="1" customWidth="1"/>
    <col min="3842" max="3842" width="14.86328125" style="4" bestFit="1" customWidth="1"/>
    <col min="3843" max="3843" width="12.1328125" style="4" bestFit="1" customWidth="1"/>
    <col min="3844" max="3844" width="12.3984375" style="4" bestFit="1" customWidth="1"/>
    <col min="3845" max="3846" width="13.86328125" style="4" bestFit="1" customWidth="1"/>
    <col min="3847" max="3847" width="14.86328125" style="4" bestFit="1" customWidth="1"/>
    <col min="3848" max="4086" width="9.1328125" style="4"/>
    <col min="4087" max="4087" width="15.3984375" style="4" bestFit="1" customWidth="1"/>
    <col min="4088" max="4088" width="11.1328125" style="4" bestFit="1" customWidth="1"/>
    <col min="4089" max="4089" width="14.59765625" style="4" bestFit="1" customWidth="1"/>
    <col min="4090" max="4090" width="17.3984375" style="4" bestFit="1" customWidth="1"/>
    <col min="4091" max="4091" width="17.59765625" style="4" bestFit="1" customWidth="1"/>
    <col min="4092" max="4092" width="14.73046875" style="4" bestFit="1" customWidth="1"/>
    <col min="4093" max="4093" width="14.3984375" style="4" bestFit="1" customWidth="1"/>
    <col min="4094" max="4094" width="12.1328125" style="4" bestFit="1" customWidth="1"/>
    <col min="4095" max="4095" width="12.3984375" style="4" bestFit="1" customWidth="1"/>
    <col min="4096" max="4097" width="13.86328125" style="4" bestFit="1" customWidth="1"/>
    <col min="4098" max="4098" width="14.86328125" style="4" bestFit="1" customWidth="1"/>
    <col min="4099" max="4099" width="12.1328125" style="4" bestFit="1" customWidth="1"/>
    <col min="4100" max="4100" width="12.3984375" style="4" bestFit="1" customWidth="1"/>
    <col min="4101" max="4102" width="13.86328125" style="4" bestFit="1" customWidth="1"/>
    <col min="4103" max="4103" width="14.86328125" style="4" bestFit="1" customWidth="1"/>
    <col min="4104" max="4342" width="9.1328125" style="4"/>
    <col min="4343" max="4343" width="15.3984375" style="4" bestFit="1" customWidth="1"/>
    <col min="4344" max="4344" width="11.1328125" style="4" bestFit="1" customWidth="1"/>
    <col min="4345" max="4345" width="14.59765625" style="4" bestFit="1" customWidth="1"/>
    <col min="4346" max="4346" width="17.3984375" style="4" bestFit="1" customWidth="1"/>
    <col min="4347" max="4347" width="17.59765625" style="4" bestFit="1" customWidth="1"/>
    <col min="4348" max="4348" width="14.73046875" style="4" bestFit="1" customWidth="1"/>
    <col min="4349" max="4349" width="14.3984375" style="4" bestFit="1" customWidth="1"/>
    <col min="4350" max="4350" width="12.1328125" style="4" bestFit="1" customWidth="1"/>
    <col min="4351" max="4351" width="12.3984375" style="4" bestFit="1" customWidth="1"/>
    <col min="4352" max="4353" width="13.86328125" style="4" bestFit="1" customWidth="1"/>
    <col min="4354" max="4354" width="14.86328125" style="4" bestFit="1" customWidth="1"/>
    <col min="4355" max="4355" width="12.1328125" style="4" bestFit="1" customWidth="1"/>
    <col min="4356" max="4356" width="12.3984375" style="4" bestFit="1" customWidth="1"/>
    <col min="4357" max="4358" width="13.86328125" style="4" bestFit="1" customWidth="1"/>
    <col min="4359" max="4359" width="14.86328125" style="4" bestFit="1" customWidth="1"/>
    <col min="4360" max="4598" width="9.1328125" style="4"/>
    <col min="4599" max="4599" width="15.3984375" style="4" bestFit="1" customWidth="1"/>
    <col min="4600" max="4600" width="11.1328125" style="4" bestFit="1" customWidth="1"/>
    <col min="4601" max="4601" width="14.59765625" style="4" bestFit="1" customWidth="1"/>
    <col min="4602" max="4602" width="17.3984375" style="4" bestFit="1" customWidth="1"/>
    <col min="4603" max="4603" width="17.59765625" style="4" bestFit="1" customWidth="1"/>
    <col min="4604" max="4604" width="14.73046875" style="4" bestFit="1" customWidth="1"/>
    <col min="4605" max="4605" width="14.3984375" style="4" bestFit="1" customWidth="1"/>
    <col min="4606" max="4606" width="12.1328125" style="4" bestFit="1" customWidth="1"/>
    <col min="4607" max="4607" width="12.3984375" style="4" bestFit="1" customWidth="1"/>
    <col min="4608" max="4609" width="13.86328125" style="4" bestFit="1" customWidth="1"/>
    <col min="4610" max="4610" width="14.86328125" style="4" bestFit="1" customWidth="1"/>
    <col min="4611" max="4611" width="12.1328125" style="4" bestFit="1" customWidth="1"/>
    <col min="4612" max="4612" width="12.3984375" style="4" bestFit="1" customWidth="1"/>
    <col min="4613" max="4614" width="13.86328125" style="4" bestFit="1" customWidth="1"/>
    <col min="4615" max="4615" width="14.86328125" style="4" bestFit="1" customWidth="1"/>
    <col min="4616" max="4854" width="9.1328125" style="4"/>
    <col min="4855" max="4855" width="15.3984375" style="4" bestFit="1" customWidth="1"/>
    <col min="4856" max="4856" width="11.1328125" style="4" bestFit="1" customWidth="1"/>
    <col min="4857" max="4857" width="14.59765625" style="4" bestFit="1" customWidth="1"/>
    <col min="4858" max="4858" width="17.3984375" style="4" bestFit="1" customWidth="1"/>
    <col min="4859" max="4859" width="17.59765625" style="4" bestFit="1" customWidth="1"/>
    <col min="4860" max="4860" width="14.73046875" style="4" bestFit="1" customWidth="1"/>
    <col min="4861" max="4861" width="14.3984375" style="4" bestFit="1" customWidth="1"/>
    <col min="4862" max="4862" width="12.1328125" style="4" bestFit="1" customWidth="1"/>
    <col min="4863" max="4863" width="12.3984375" style="4" bestFit="1" customWidth="1"/>
    <col min="4864" max="4865" width="13.86328125" style="4" bestFit="1" customWidth="1"/>
    <col min="4866" max="4866" width="14.86328125" style="4" bestFit="1" customWidth="1"/>
    <col min="4867" max="4867" width="12.1328125" style="4" bestFit="1" customWidth="1"/>
    <col min="4868" max="4868" width="12.3984375" style="4" bestFit="1" customWidth="1"/>
    <col min="4869" max="4870" width="13.86328125" style="4" bestFit="1" customWidth="1"/>
    <col min="4871" max="4871" width="14.86328125" style="4" bestFit="1" customWidth="1"/>
    <col min="4872" max="5110" width="9.1328125" style="4"/>
    <col min="5111" max="5111" width="15.3984375" style="4" bestFit="1" customWidth="1"/>
    <col min="5112" max="5112" width="11.1328125" style="4" bestFit="1" customWidth="1"/>
    <col min="5113" max="5113" width="14.59765625" style="4" bestFit="1" customWidth="1"/>
    <col min="5114" max="5114" width="17.3984375" style="4" bestFit="1" customWidth="1"/>
    <col min="5115" max="5115" width="17.59765625" style="4" bestFit="1" customWidth="1"/>
    <col min="5116" max="5116" width="14.73046875" style="4" bestFit="1" customWidth="1"/>
    <col min="5117" max="5117" width="14.3984375" style="4" bestFit="1" customWidth="1"/>
    <col min="5118" max="5118" width="12.1328125" style="4" bestFit="1" customWidth="1"/>
    <col min="5119" max="5119" width="12.3984375" style="4" bestFit="1" customWidth="1"/>
    <col min="5120" max="5121" width="13.86328125" style="4" bestFit="1" customWidth="1"/>
    <col min="5122" max="5122" width="14.86328125" style="4" bestFit="1" customWidth="1"/>
    <col min="5123" max="5123" width="12.1328125" style="4" bestFit="1" customWidth="1"/>
    <col min="5124" max="5124" width="12.3984375" style="4" bestFit="1" customWidth="1"/>
    <col min="5125" max="5126" width="13.86328125" style="4" bestFit="1" customWidth="1"/>
    <col min="5127" max="5127" width="14.86328125" style="4" bestFit="1" customWidth="1"/>
    <col min="5128" max="5366" width="9.1328125" style="4"/>
    <col min="5367" max="5367" width="15.3984375" style="4" bestFit="1" customWidth="1"/>
    <col min="5368" max="5368" width="11.1328125" style="4" bestFit="1" customWidth="1"/>
    <col min="5369" max="5369" width="14.59765625" style="4" bestFit="1" customWidth="1"/>
    <col min="5370" max="5370" width="17.3984375" style="4" bestFit="1" customWidth="1"/>
    <col min="5371" max="5371" width="17.59765625" style="4" bestFit="1" customWidth="1"/>
    <col min="5372" max="5372" width="14.73046875" style="4" bestFit="1" customWidth="1"/>
    <col min="5373" max="5373" width="14.3984375" style="4" bestFit="1" customWidth="1"/>
    <col min="5374" max="5374" width="12.1328125" style="4" bestFit="1" customWidth="1"/>
    <col min="5375" max="5375" width="12.3984375" style="4" bestFit="1" customWidth="1"/>
    <col min="5376" max="5377" width="13.86328125" style="4" bestFit="1" customWidth="1"/>
    <col min="5378" max="5378" width="14.86328125" style="4" bestFit="1" customWidth="1"/>
    <col min="5379" max="5379" width="12.1328125" style="4" bestFit="1" customWidth="1"/>
    <col min="5380" max="5380" width="12.3984375" style="4" bestFit="1" customWidth="1"/>
    <col min="5381" max="5382" width="13.86328125" style="4" bestFit="1" customWidth="1"/>
    <col min="5383" max="5383" width="14.86328125" style="4" bestFit="1" customWidth="1"/>
    <col min="5384" max="5622" width="9.1328125" style="4"/>
    <col min="5623" max="5623" width="15.3984375" style="4" bestFit="1" customWidth="1"/>
    <col min="5624" max="5624" width="11.1328125" style="4" bestFit="1" customWidth="1"/>
    <col min="5625" max="5625" width="14.59765625" style="4" bestFit="1" customWidth="1"/>
    <col min="5626" max="5626" width="17.3984375" style="4" bestFit="1" customWidth="1"/>
    <col min="5627" max="5627" width="17.59765625" style="4" bestFit="1" customWidth="1"/>
    <col min="5628" max="5628" width="14.73046875" style="4" bestFit="1" customWidth="1"/>
    <col min="5629" max="5629" width="14.3984375" style="4" bestFit="1" customWidth="1"/>
    <col min="5630" max="5630" width="12.1328125" style="4" bestFit="1" customWidth="1"/>
    <col min="5631" max="5631" width="12.3984375" style="4" bestFit="1" customWidth="1"/>
    <col min="5632" max="5633" width="13.86328125" style="4" bestFit="1" customWidth="1"/>
    <col min="5634" max="5634" width="14.86328125" style="4" bestFit="1" customWidth="1"/>
    <col min="5635" max="5635" width="12.1328125" style="4" bestFit="1" customWidth="1"/>
    <col min="5636" max="5636" width="12.3984375" style="4" bestFit="1" customWidth="1"/>
    <col min="5637" max="5638" width="13.86328125" style="4" bestFit="1" customWidth="1"/>
    <col min="5639" max="5639" width="14.86328125" style="4" bestFit="1" customWidth="1"/>
    <col min="5640" max="5878" width="9.1328125" style="4"/>
    <col min="5879" max="5879" width="15.3984375" style="4" bestFit="1" customWidth="1"/>
    <col min="5880" max="5880" width="11.1328125" style="4" bestFit="1" customWidth="1"/>
    <col min="5881" max="5881" width="14.59765625" style="4" bestFit="1" customWidth="1"/>
    <col min="5882" max="5882" width="17.3984375" style="4" bestFit="1" customWidth="1"/>
    <col min="5883" max="5883" width="17.59765625" style="4" bestFit="1" customWidth="1"/>
    <col min="5884" max="5884" width="14.73046875" style="4" bestFit="1" customWidth="1"/>
    <col min="5885" max="5885" width="14.3984375" style="4" bestFit="1" customWidth="1"/>
    <col min="5886" max="5886" width="12.1328125" style="4" bestFit="1" customWidth="1"/>
    <col min="5887" max="5887" width="12.3984375" style="4" bestFit="1" customWidth="1"/>
    <col min="5888" max="5889" width="13.86328125" style="4" bestFit="1" customWidth="1"/>
    <col min="5890" max="5890" width="14.86328125" style="4" bestFit="1" customWidth="1"/>
    <col min="5891" max="5891" width="12.1328125" style="4" bestFit="1" customWidth="1"/>
    <col min="5892" max="5892" width="12.3984375" style="4" bestFit="1" customWidth="1"/>
    <col min="5893" max="5894" width="13.86328125" style="4" bestFit="1" customWidth="1"/>
    <col min="5895" max="5895" width="14.86328125" style="4" bestFit="1" customWidth="1"/>
    <col min="5896" max="6134" width="9.1328125" style="4"/>
    <col min="6135" max="6135" width="15.3984375" style="4" bestFit="1" customWidth="1"/>
    <col min="6136" max="6136" width="11.1328125" style="4" bestFit="1" customWidth="1"/>
    <col min="6137" max="6137" width="14.59765625" style="4" bestFit="1" customWidth="1"/>
    <col min="6138" max="6138" width="17.3984375" style="4" bestFit="1" customWidth="1"/>
    <col min="6139" max="6139" width="17.59765625" style="4" bestFit="1" customWidth="1"/>
    <col min="6140" max="6140" width="14.73046875" style="4" bestFit="1" customWidth="1"/>
    <col min="6141" max="6141" width="14.3984375" style="4" bestFit="1" customWidth="1"/>
    <col min="6142" max="6142" width="12.1328125" style="4" bestFit="1" customWidth="1"/>
    <col min="6143" max="6143" width="12.3984375" style="4" bestFit="1" customWidth="1"/>
    <col min="6144" max="6145" width="13.86328125" style="4" bestFit="1" customWidth="1"/>
    <col min="6146" max="6146" width="14.86328125" style="4" bestFit="1" customWidth="1"/>
    <col min="6147" max="6147" width="12.1328125" style="4" bestFit="1" customWidth="1"/>
    <col min="6148" max="6148" width="12.3984375" style="4" bestFit="1" customWidth="1"/>
    <col min="6149" max="6150" width="13.86328125" style="4" bestFit="1" customWidth="1"/>
    <col min="6151" max="6151" width="14.86328125" style="4" bestFit="1" customWidth="1"/>
    <col min="6152" max="6390" width="9.1328125" style="4"/>
    <col min="6391" max="6391" width="15.3984375" style="4" bestFit="1" customWidth="1"/>
    <col min="6392" max="6392" width="11.1328125" style="4" bestFit="1" customWidth="1"/>
    <col min="6393" max="6393" width="14.59765625" style="4" bestFit="1" customWidth="1"/>
    <col min="6394" max="6394" width="17.3984375" style="4" bestFit="1" customWidth="1"/>
    <col min="6395" max="6395" width="17.59765625" style="4" bestFit="1" customWidth="1"/>
    <col min="6396" max="6396" width="14.73046875" style="4" bestFit="1" customWidth="1"/>
    <col min="6397" max="6397" width="14.3984375" style="4" bestFit="1" customWidth="1"/>
    <col min="6398" max="6398" width="12.1328125" style="4" bestFit="1" customWidth="1"/>
    <col min="6399" max="6399" width="12.3984375" style="4" bestFit="1" customWidth="1"/>
    <col min="6400" max="6401" width="13.86328125" style="4" bestFit="1" customWidth="1"/>
    <col min="6402" max="6402" width="14.86328125" style="4" bestFit="1" customWidth="1"/>
    <col min="6403" max="6403" width="12.1328125" style="4" bestFit="1" customWidth="1"/>
    <col min="6404" max="6404" width="12.3984375" style="4" bestFit="1" customWidth="1"/>
    <col min="6405" max="6406" width="13.86328125" style="4" bestFit="1" customWidth="1"/>
    <col min="6407" max="6407" width="14.86328125" style="4" bestFit="1" customWidth="1"/>
    <col min="6408" max="6646" width="9.1328125" style="4"/>
    <col min="6647" max="6647" width="15.3984375" style="4" bestFit="1" customWidth="1"/>
    <col min="6648" max="6648" width="11.1328125" style="4" bestFit="1" customWidth="1"/>
    <col min="6649" max="6649" width="14.59765625" style="4" bestFit="1" customWidth="1"/>
    <col min="6650" max="6650" width="17.3984375" style="4" bestFit="1" customWidth="1"/>
    <col min="6651" max="6651" width="17.59765625" style="4" bestFit="1" customWidth="1"/>
    <col min="6652" max="6652" width="14.73046875" style="4" bestFit="1" customWidth="1"/>
    <col min="6653" max="6653" width="14.3984375" style="4" bestFit="1" customWidth="1"/>
    <col min="6654" max="6654" width="12.1328125" style="4" bestFit="1" customWidth="1"/>
    <col min="6655" max="6655" width="12.3984375" style="4" bestFit="1" customWidth="1"/>
    <col min="6656" max="6657" width="13.86328125" style="4" bestFit="1" customWidth="1"/>
    <col min="6658" max="6658" width="14.86328125" style="4" bestFit="1" customWidth="1"/>
    <col min="6659" max="6659" width="12.1328125" style="4" bestFit="1" customWidth="1"/>
    <col min="6660" max="6660" width="12.3984375" style="4" bestFit="1" customWidth="1"/>
    <col min="6661" max="6662" width="13.86328125" style="4" bestFit="1" customWidth="1"/>
    <col min="6663" max="6663" width="14.86328125" style="4" bestFit="1" customWidth="1"/>
    <col min="6664" max="6902" width="9.1328125" style="4"/>
    <col min="6903" max="6903" width="15.3984375" style="4" bestFit="1" customWidth="1"/>
    <col min="6904" max="6904" width="11.1328125" style="4" bestFit="1" customWidth="1"/>
    <col min="6905" max="6905" width="14.59765625" style="4" bestFit="1" customWidth="1"/>
    <col min="6906" max="6906" width="17.3984375" style="4" bestFit="1" customWidth="1"/>
    <col min="6907" max="6907" width="17.59765625" style="4" bestFit="1" customWidth="1"/>
    <col min="6908" max="6908" width="14.73046875" style="4" bestFit="1" customWidth="1"/>
    <col min="6909" max="6909" width="14.3984375" style="4" bestFit="1" customWidth="1"/>
    <col min="6910" max="6910" width="12.1328125" style="4" bestFit="1" customWidth="1"/>
    <col min="6911" max="6911" width="12.3984375" style="4" bestFit="1" customWidth="1"/>
    <col min="6912" max="6913" width="13.86328125" style="4" bestFit="1" customWidth="1"/>
    <col min="6914" max="6914" width="14.86328125" style="4" bestFit="1" customWidth="1"/>
    <col min="6915" max="6915" width="12.1328125" style="4" bestFit="1" customWidth="1"/>
    <col min="6916" max="6916" width="12.3984375" style="4" bestFit="1" customWidth="1"/>
    <col min="6917" max="6918" width="13.86328125" style="4" bestFit="1" customWidth="1"/>
    <col min="6919" max="6919" width="14.86328125" style="4" bestFit="1" customWidth="1"/>
    <col min="6920" max="7158" width="9.1328125" style="4"/>
    <col min="7159" max="7159" width="15.3984375" style="4" bestFit="1" customWidth="1"/>
    <col min="7160" max="7160" width="11.1328125" style="4" bestFit="1" customWidth="1"/>
    <col min="7161" max="7161" width="14.59765625" style="4" bestFit="1" customWidth="1"/>
    <col min="7162" max="7162" width="17.3984375" style="4" bestFit="1" customWidth="1"/>
    <col min="7163" max="7163" width="17.59765625" style="4" bestFit="1" customWidth="1"/>
    <col min="7164" max="7164" width="14.73046875" style="4" bestFit="1" customWidth="1"/>
    <col min="7165" max="7165" width="14.3984375" style="4" bestFit="1" customWidth="1"/>
    <col min="7166" max="7166" width="12.1328125" style="4" bestFit="1" customWidth="1"/>
    <col min="7167" max="7167" width="12.3984375" style="4" bestFit="1" customWidth="1"/>
    <col min="7168" max="7169" width="13.86328125" style="4" bestFit="1" customWidth="1"/>
    <col min="7170" max="7170" width="14.86328125" style="4" bestFit="1" customWidth="1"/>
    <col min="7171" max="7171" width="12.1328125" style="4" bestFit="1" customWidth="1"/>
    <col min="7172" max="7172" width="12.3984375" style="4" bestFit="1" customWidth="1"/>
    <col min="7173" max="7174" width="13.86328125" style="4" bestFit="1" customWidth="1"/>
    <col min="7175" max="7175" width="14.86328125" style="4" bestFit="1" customWidth="1"/>
    <col min="7176" max="7414" width="9.1328125" style="4"/>
    <col min="7415" max="7415" width="15.3984375" style="4" bestFit="1" customWidth="1"/>
    <col min="7416" max="7416" width="11.1328125" style="4" bestFit="1" customWidth="1"/>
    <col min="7417" max="7417" width="14.59765625" style="4" bestFit="1" customWidth="1"/>
    <col min="7418" max="7418" width="17.3984375" style="4" bestFit="1" customWidth="1"/>
    <col min="7419" max="7419" width="17.59765625" style="4" bestFit="1" customWidth="1"/>
    <col min="7420" max="7420" width="14.73046875" style="4" bestFit="1" customWidth="1"/>
    <col min="7421" max="7421" width="14.3984375" style="4" bestFit="1" customWidth="1"/>
    <col min="7422" max="7422" width="12.1328125" style="4" bestFit="1" customWidth="1"/>
    <col min="7423" max="7423" width="12.3984375" style="4" bestFit="1" customWidth="1"/>
    <col min="7424" max="7425" width="13.86328125" style="4" bestFit="1" customWidth="1"/>
    <col min="7426" max="7426" width="14.86328125" style="4" bestFit="1" customWidth="1"/>
    <col min="7427" max="7427" width="12.1328125" style="4" bestFit="1" customWidth="1"/>
    <col min="7428" max="7428" width="12.3984375" style="4" bestFit="1" customWidth="1"/>
    <col min="7429" max="7430" width="13.86328125" style="4" bestFit="1" customWidth="1"/>
    <col min="7431" max="7431" width="14.86328125" style="4" bestFit="1" customWidth="1"/>
    <col min="7432" max="7670" width="9.1328125" style="4"/>
    <col min="7671" max="7671" width="15.3984375" style="4" bestFit="1" customWidth="1"/>
    <col min="7672" max="7672" width="11.1328125" style="4" bestFit="1" customWidth="1"/>
    <col min="7673" max="7673" width="14.59765625" style="4" bestFit="1" customWidth="1"/>
    <col min="7674" max="7674" width="17.3984375" style="4" bestFit="1" customWidth="1"/>
    <col min="7675" max="7675" width="17.59765625" style="4" bestFit="1" customWidth="1"/>
    <col min="7676" max="7676" width="14.73046875" style="4" bestFit="1" customWidth="1"/>
    <col min="7677" max="7677" width="14.3984375" style="4" bestFit="1" customWidth="1"/>
    <col min="7678" max="7678" width="12.1328125" style="4" bestFit="1" customWidth="1"/>
    <col min="7679" max="7679" width="12.3984375" style="4" bestFit="1" customWidth="1"/>
    <col min="7680" max="7681" width="13.86328125" style="4" bestFit="1" customWidth="1"/>
    <col min="7682" max="7682" width="14.86328125" style="4" bestFit="1" customWidth="1"/>
    <col min="7683" max="7683" width="12.1328125" style="4" bestFit="1" customWidth="1"/>
    <col min="7684" max="7684" width="12.3984375" style="4" bestFit="1" customWidth="1"/>
    <col min="7685" max="7686" width="13.86328125" style="4" bestFit="1" customWidth="1"/>
    <col min="7687" max="7687" width="14.86328125" style="4" bestFit="1" customWidth="1"/>
    <col min="7688" max="7926" width="9.1328125" style="4"/>
    <col min="7927" max="7927" width="15.3984375" style="4" bestFit="1" customWidth="1"/>
    <col min="7928" max="7928" width="11.1328125" style="4" bestFit="1" customWidth="1"/>
    <col min="7929" max="7929" width="14.59765625" style="4" bestFit="1" customWidth="1"/>
    <col min="7930" max="7930" width="17.3984375" style="4" bestFit="1" customWidth="1"/>
    <col min="7931" max="7931" width="17.59765625" style="4" bestFit="1" customWidth="1"/>
    <col min="7932" max="7932" width="14.73046875" style="4" bestFit="1" customWidth="1"/>
    <col min="7933" max="7933" width="14.3984375" style="4" bestFit="1" customWidth="1"/>
    <col min="7934" max="7934" width="12.1328125" style="4" bestFit="1" customWidth="1"/>
    <col min="7935" max="7935" width="12.3984375" style="4" bestFit="1" customWidth="1"/>
    <col min="7936" max="7937" width="13.86328125" style="4" bestFit="1" customWidth="1"/>
    <col min="7938" max="7938" width="14.86328125" style="4" bestFit="1" customWidth="1"/>
    <col min="7939" max="7939" width="12.1328125" style="4" bestFit="1" customWidth="1"/>
    <col min="7940" max="7940" width="12.3984375" style="4" bestFit="1" customWidth="1"/>
    <col min="7941" max="7942" width="13.86328125" style="4" bestFit="1" customWidth="1"/>
    <col min="7943" max="7943" width="14.86328125" style="4" bestFit="1" customWidth="1"/>
    <col min="7944" max="8182" width="9.1328125" style="4"/>
    <col min="8183" max="8183" width="15.3984375" style="4" bestFit="1" customWidth="1"/>
    <col min="8184" max="8184" width="11.1328125" style="4" bestFit="1" customWidth="1"/>
    <col min="8185" max="8185" width="14.59765625" style="4" bestFit="1" customWidth="1"/>
    <col min="8186" max="8186" width="17.3984375" style="4" bestFit="1" customWidth="1"/>
    <col min="8187" max="8187" width="17.59765625" style="4" bestFit="1" customWidth="1"/>
    <col min="8188" max="8188" width="14.73046875" style="4" bestFit="1" customWidth="1"/>
    <col min="8189" max="8189" width="14.3984375" style="4" bestFit="1" customWidth="1"/>
    <col min="8190" max="8190" width="12.1328125" style="4" bestFit="1" customWidth="1"/>
    <col min="8191" max="8191" width="12.3984375" style="4" bestFit="1" customWidth="1"/>
    <col min="8192" max="8193" width="13.86328125" style="4" bestFit="1" customWidth="1"/>
    <col min="8194" max="8194" width="14.86328125" style="4" bestFit="1" customWidth="1"/>
    <col min="8195" max="8195" width="12.1328125" style="4" bestFit="1" customWidth="1"/>
    <col min="8196" max="8196" width="12.3984375" style="4" bestFit="1" customWidth="1"/>
    <col min="8197" max="8198" width="13.86328125" style="4" bestFit="1" customWidth="1"/>
    <col min="8199" max="8199" width="14.86328125" style="4" bestFit="1" customWidth="1"/>
    <col min="8200" max="8438" width="9.1328125" style="4"/>
    <col min="8439" max="8439" width="15.3984375" style="4" bestFit="1" customWidth="1"/>
    <col min="8440" max="8440" width="11.1328125" style="4" bestFit="1" customWidth="1"/>
    <col min="8441" max="8441" width="14.59765625" style="4" bestFit="1" customWidth="1"/>
    <col min="8442" max="8442" width="17.3984375" style="4" bestFit="1" customWidth="1"/>
    <col min="8443" max="8443" width="17.59765625" style="4" bestFit="1" customWidth="1"/>
    <col min="8444" max="8444" width="14.73046875" style="4" bestFit="1" customWidth="1"/>
    <col min="8445" max="8445" width="14.3984375" style="4" bestFit="1" customWidth="1"/>
    <col min="8446" max="8446" width="12.1328125" style="4" bestFit="1" customWidth="1"/>
    <col min="8447" max="8447" width="12.3984375" style="4" bestFit="1" customWidth="1"/>
    <col min="8448" max="8449" width="13.86328125" style="4" bestFit="1" customWidth="1"/>
    <col min="8450" max="8450" width="14.86328125" style="4" bestFit="1" customWidth="1"/>
    <col min="8451" max="8451" width="12.1328125" style="4" bestFit="1" customWidth="1"/>
    <col min="8452" max="8452" width="12.3984375" style="4" bestFit="1" customWidth="1"/>
    <col min="8453" max="8454" width="13.86328125" style="4" bestFit="1" customWidth="1"/>
    <col min="8455" max="8455" width="14.86328125" style="4" bestFit="1" customWidth="1"/>
    <col min="8456" max="8694" width="9.1328125" style="4"/>
    <col min="8695" max="8695" width="15.3984375" style="4" bestFit="1" customWidth="1"/>
    <col min="8696" max="8696" width="11.1328125" style="4" bestFit="1" customWidth="1"/>
    <col min="8697" max="8697" width="14.59765625" style="4" bestFit="1" customWidth="1"/>
    <col min="8698" max="8698" width="17.3984375" style="4" bestFit="1" customWidth="1"/>
    <col min="8699" max="8699" width="17.59765625" style="4" bestFit="1" customWidth="1"/>
    <col min="8700" max="8700" width="14.73046875" style="4" bestFit="1" customWidth="1"/>
    <col min="8701" max="8701" width="14.3984375" style="4" bestFit="1" customWidth="1"/>
    <col min="8702" max="8702" width="12.1328125" style="4" bestFit="1" customWidth="1"/>
    <col min="8703" max="8703" width="12.3984375" style="4" bestFit="1" customWidth="1"/>
    <col min="8704" max="8705" width="13.86328125" style="4" bestFit="1" customWidth="1"/>
    <col min="8706" max="8706" width="14.86328125" style="4" bestFit="1" customWidth="1"/>
    <col min="8707" max="8707" width="12.1328125" style="4" bestFit="1" customWidth="1"/>
    <col min="8708" max="8708" width="12.3984375" style="4" bestFit="1" customWidth="1"/>
    <col min="8709" max="8710" width="13.86328125" style="4" bestFit="1" customWidth="1"/>
    <col min="8711" max="8711" width="14.86328125" style="4" bestFit="1" customWidth="1"/>
    <col min="8712" max="8950" width="9.1328125" style="4"/>
    <col min="8951" max="8951" width="15.3984375" style="4" bestFit="1" customWidth="1"/>
    <col min="8952" max="8952" width="11.1328125" style="4" bestFit="1" customWidth="1"/>
    <col min="8953" max="8953" width="14.59765625" style="4" bestFit="1" customWidth="1"/>
    <col min="8954" max="8954" width="17.3984375" style="4" bestFit="1" customWidth="1"/>
    <col min="8955" max="8955" width="17.59765625" style="4" bestFit="1" customWidth="1"/>
    <col min="8956" max="8956" width="14.73046875" style="4" bestFit="1" customWidth="1"/>
    <col min="8957" max="8957" width="14.3984375" style="4" bestFit="1" customWidth="1"/>
    <col min="8958" max="8958" width="12.1328125" style="4" bestFit="1" customWidth="1"/>
    <col min="8959" max="8959" width="12.3984375" style="4" bestFit="1" customWidth="1"/>
    <col min="8960" max="8961" width="13.86328125" style="4" bestFit="1" customWidth="1"/>
    <col min="8962" max="8962" width="14.86328125" style="4" bestFit="1" customWidth="1"/>
    <col min="8963" max="8963" width="12.1328125" style="4" bestFit="1" customWidth="1"/>
    <col min="8964" max="8964" width="12.3984375" style="4" bestFit="1" customWidth="1"/>
    <col min="8965" max="8966" width="13.86328125" style="4" bestFit="1" customWidth="1"/>
    <col min="8967" max="8967" width="14.86328125" style="4" bestFit="1" customWidth="1"/>
    <col min="8968" max="9206" width="9.1328125" style="4"/>
    <col min="9207" max="9207" width="15.3984375" style="4" bestFit="1" customWidth="1"/>
    <col min="9208" max="9208" width="11.1328125" style="4" bestFit="1" customWidth="1"/>
    <col min="9209" max="9209" width="14.59765625" style="4" bestFit="1" customWidth="1"/>
    <col min="9210" max="9210" width="17.3984375" style="4" bestFit="1" customWidth="1"/>
    <col min="9211" max="9211" width="17.59765625" style="4" bestFit="1" customWidth="1"/>
    <col min="9212" max="9212" width="14.73046875" style="4" bestFit="1" customWidth="1"/>
    <col min="9213" max="9213" width="14.3984375" style="4" bestFit="1" customWidth="1"/>
    <col min="9214" max="9214" width="12.1328125" style="4" bestFit="1" customWidth="1"/>
    <col min="9215" max="9215" width="12.3984375" style="4" bestFit="1" customWidth="1"/>
    <col min="9216" max="9217" width="13.86328125" style="4" bestFit="1" customWidth="1"/>
    <col min="9218" max="9218" width="14.86328125" style="4" bestFit="1" customWidth="1"/>
    <col min="9219" max="9219" width="12.1328125" style="4" bestFit="1" customWidth="1"/>
    <col min="9220" max="9220" width="12.3984375" style="4" bestFit="1" customWidth="1"/>
    <col min="9221" max="9222" width="13.86328125" style="4" bestFit="1" customWidth="1"/>
    <col min="9223" max="9223" width="14.86328125" style="4" bestFit="1" customWidth="1"/>
    <col min="9224" max="9462" width="9.1328125" style="4"/>
    <col min="9463" max="9463" width="15.3984375" style="4" bestFit="1" customWidth="1"/>
    <col min="9464" max="9464" width="11.1328125" style="4" bestFit="1" customWidth="1"/>
    <col min="9465" max="9465" width="14.59765625" style="4" bestFit="1" customWidth="1"/>
    <col min="9466" max="9466" width="17.3984375" style="4" bestFit="1" customWidth="1"/>
    <col min="9467" max="9467" width="17.59765625" style="4" bestFit="1" customWidth="1"/>
    <col min="9468" max="9468" width="14.73046875" style="4" bestFit="1" customWidth="1"/>
    <col min="9469" max="9469" width="14.3984375" style="4" bestFit="1" customWidth="1"/>
    <col min="9470" max="9470" width="12.1328125" style="4" bestFit="1" customWidth="1"/>
    <col min="9471" max="9471" width="12.3984375" style="4" bestFit="1" customWidth="1"/>
    <col min="9472" max="9473" width="13.86328125" style="4" bestFit="1" customWidth="1"/>
    <col min="9474" max="9474" width="14.86328125" style="4" bestFit="1" customWidth="1"/>
    <col min="9475" max="9475" width="12.1328125" style="4" bestFit="1" customWidth="1"/>
    <col min="9476" max="9476" width="12.3984375" style="4" bestFit="1" customWidth="1"/>
    <col min="9477" max="9478" width="13.86328125" style="4" bestFit="1" customWidth="1"/>
    <col min="9479" max="9479" width="14.86328125" style="4" bestFit="1" customWidth="1"/>
    <col min="9480" max="9718" width="9.1328125" style="4"/>
    <col min="9719" max="9719" width="15.3984375" style="4" bestFit="1" customWidth="1"/>
    <col min="9720" max="9720" width="11.1328125" style="4" bestFit="1" customWidth="1"/>
    <col min="9721" max="9721" width="14.59765625" style="4" bestFit="1" customWidth="1"/>
    <col min="9722" max="9722" width="17.3984375" style="4" bestFit="1" customWidth="1"/>
    <col min="9723" max="9723" width="17.59765625" style="4" bestFit="1" customWidth="1"/>
    <col min="9724" max="9724" width="14.73046875" style="4" bestFit="1" customWidth="1"/>
    <col min="9725" max="9725" width="14.3984375" style="4" bestFit="1" customWidth="1"/>
    <col min="9726" max="9726" width="12.1328125" style="4" bestFit="1" customWidth="1"/>
    <col min="9727" max="9727" width="12.3984375" style="4" bestFit="1" customWidth="1"/>
    <col min="9728" max="9729" width="13.86328125" style="4" bestFit="1" customWidth="1"/>
    <col min="9730" max="9730" width="14.86328125" style="4" bestFit="1" customWidth="1"/>
    <col min="9731" max="9731" width="12.1328125" style="4" bestFit="1" customWidth="1"/>
    <col min="9732" max="9732" width="12.3984375" style="4" bestFit="1" customWidth="1"/>
    <col min="9733" max="9734" width="13.86328125" style="4" bestFit="1" customWidth="1"/>
    <col min="9735" max="9735" width="14.86328125" style="4" bestFit="1" customWidth="1"/>
    <col min="9736" max="9974" width="9.1328125" style="4"/>
    <col min="9975" max="9975" width="15.3984375" style="4" bestFit="1" customWidth="1"/>
    <col min="9976" max="9976" width="11.1328125" style="4" bestFit="1" customWidth="1"/>
    <col min="9977" max="9977" width="14.59765625" style="4" bestFit="1" customWidth="1"/>
    <col min="9978" max="9978" width="17.3984375" style="4" bestFit="1" customWidth="1"/>
    <col min="9979" max="9979" width="17.59765625" style="4" bestFit="1" customWidth="1"/>
    <col min="9980" max="9980" width="14.73046875" style="4" bestFit="1" customWidth="1"/>
    <col min="9981" max="9981" width="14.3984375" style="4" bestFit="1" customWidth="1"/>
    <col min="9982" max="9982" width="12.1328125" style="4" bestFit="1" customWidth="1"/>
    <col min="9983" max="9983" width="12.3984375" style="4" bestFit="1" customWidth="1"/>
    <col min="9984" max="9985" width="13.86328125" style="4" bestFit="1" customWidth="1"/>
    <col min="9986" max="9986" width="14.86328125" style="4" bestFit="1" customWidth="1"/>
    <col min="9987" max="9987" width="12.1328125" style="4" bestFit="1" customWidth="1"/>
    <col min="9988" max="9988" width="12.3984375" style="4" bestFit="1" customWidth="1"/>
    <col min="9989" max="9990" width="13.86328125" style="4" bestFit="1" customWidth="1"/>
    <col min="9991" max="9991" width="14.86328125" style="4" bestFit="1" customWidth="1"/>
    <col min="9992" max="10230" width="9.1328125" style="4"/>
    <col min="10231" max="10231" width="15.3984375" style="4" bestFit="1" customWidth="1"/>
    <col min="10232" max="10232" width="11.1328125" style="4" bestFit="1" customWidth="1"/>
    <col min="10233" max="10233" width="14.59765625" style="4" bestFit="1" customWidth="1"/>
    <col min="10234" max="10234" width="17.3984375" style="4" bestFit="1" customWidth="1"/>
    <col min="10235" max="10235" width="17.59765625" style="4" bestFit="1" customWidth="1"/>
    <col min="10236" max="10236" width="14.73046875" style="4" bestFit="1" customWidth="1"/>
    <col min="10237" max="10237" width="14.3984375" style="4" bestFit="1" customWidth="1"/>
    <col min="10238" max="10238" width="12.1328125" style="4" bestFit="1" customWidth="1"/>
    <col min="10239" max="10239" width="12.3984375" style="4" bestFit="1" customWidth="1"/>
    <col min="10240" max="10241" width="13.86328125" style="4" bestFit="1" customWidth="1"/>
    <col min="10242" max="10242" width="14.86328125" style="4" bestFit="1" customWidth="1"/>
    <col min="10243" max="10243" width="12.1328125" style="4" bestFit="1" customWidth="1"/>
    <col min="10244" max="10244" width="12.3984375" style="4" bestFit="1" customWidth="1"/>
    <col min="10245" max="10246" width="13.86328125" style="4" bestFit="1" customWidth="1"/>
    <col min="10247" max="10247" width="14.86328125" style="4" bestFit="1" customWidth="1"/>
    <col min="10248" max="10486" width="9.1328125" style="4"/>
    <col min="10487" max="10487" width="15.3984375" style="4" bestFit="1" customWidth="1"/>
    <col min="10488" max="10488" width="11.1328125" style="4" bestFit="1" customWidth="1"/>
    <col min="10489" max="10489" width="14.59765625" style="4" bestFit="1" customWidth="1"/>
    <col min="10490" max="10490" width="17.3984375" style="4" bestFit="1" customWidth="1"/>
    <col min="10491" max="10491" width="17.59765625" style="4" bestFit="1" customWidth="1"/>
    <col min="10492" max="10492" width="14.73046875" style="4" bestFit="1" customWidth="1"/>
    <col min="10493" max="10493" width="14.3984375" style="4" bestFit="1" customWidth="1"/>
    <col min="10494" max="10494" width="12.1328125" style="4" bestFit="1" customWidth="1"/>
    <col min="10495" max="10495" width="12.3984375" style="4" bestFit="1" customWidth="1"/>
    <col min="10496" max="10497" width="13.86328125" style="4" bestFit="1" customWidth="1"/>
    <col min="10498" max="10498" width="14.86328125" style="4" bestFit="1" customWidth="1"/>
    <col min="10499" max="10499" width="12.1328125" style="4" bestFit="1" customWidth="1"/>
    <col min="10500" max="10500" width="12.3984375" style="4" bestFit="1" customWidth="1"/>
    <col min="10501" max="10502" width="13.86328125" style="4" bestFit="1" customWidth="1"/>
    <col min="10503" max="10503" width="14.86328125" style="4" bestFit="1" customWidth="1"/>
    <col min="10504" max="10742" width="9.1328125" style="4"/>
    <col min="10743" max="10743" width="15.3984375" style="4" bestFit="1" customWidth="1"/>
    <col min="10744" max="10744" width="11.1328125" style="4" bestFit="1" customWidth="1"/>
    <col min="10745" max="10745" width="14.59765625" style="4" bestFit="1" customWidth="1"/>
    <col min="10746" max="10746" width="17.3984375" style="4" bestFit="1" customWidth="1"/>
    <col min="10747" max="10747" width="17.59765625" style="4" bestFit="1" customWidth="1"/>
    <col min="10748" max="10748" width="14.73046875" style="4" bestFit="1" customWidth="1"/>
    <col min="10749" max="10749" width="14.3984375" style="4" bestFit="1" customWidth="1"/>
    <col min="10750" max="10750" width="12.1328125" style="4" bestFit="1" customWidth="1"/>
    <col min="10751" max="10751" width="12.3984375" style="4" bestFit="1" customWidth="1"/>
    <col min="10752" max="10753" width="13.86328125" style="4" bestFit="1" customWidth="1"/>
    <col min="10754" max="10754" width="14.86328125" style="4" bestFit="1" customWidth="1"/>
    <col min="10755" max="10755" width="12.1328125" style="4" bestFit="1" customWidth="1"/>
    <col min="10756" max="10756" width="12.3984375" style="4" bestFit="1" customWidth="1"/>
    <col min="10757" max="10758" width="13.86328125" style="4" bestFit="1" customWidth="1"/>
    <col min="10759" max="10759" width="14.86328125" style="4" bestFit="1" customWidth="1"/>
    <col min="10760" max="10998" width="9.1328125" style="4"/>
    <col min="10999" max="10999" width="15.3984375" style="4" bestFit="1" customWidth="1"/>
    <col min="11000" max="11000" width="11.1328125" style="4" bestFit="1" customWidth="1"/>
    <col min="11001" max="11001" width="14.59765625" style="4" bestFit="1" customWidth="1"/>
    <col min="11002" max="11002" width="17.3984375" style="4" bestFit="1" customWidth="1"/>
    <col min="11003" max="11003" width="17.59765625" style="4" bestFit="1" customWidth="1"/>
    <col min="11004" max="11004" width="14.73046875" style="4" bestFit="1" customWidth="1"/>
    <col min="11005" max="11005" width="14.3984375" style="4" bestFit="1" customWidth="1"/>
    <col min="11006" max="11006" width="12.1328125" style="4" bestFit="1" customWidth="1"/>
    <col min="11007" max="11007" width="12.3984375" style="4" bestFit="1" customWidth="1"/>
    <col min="11008" max="11009" width="13.86328125" style="4" bestFit="1" customWidth="1"/>
    <col min="11010" max="11010" width="14.86328125" style="4" bestFit="1" customWidth="1"/>
    <col min="11011" max="11011" width="12.1328125" style="4" bestFit="1" customWidth="1"/>
    <col min="11012" max="11012" width="12.3984375" style="4" bestFit="1" customWidth="1"/>
    <col min="11013" max="11014" width="13.86328125" style="4" bestFit="1" customWidth="1"/>
    <col min="11015" max="11015" width="14.86328125" style="4" bestFit="1" customWidth="1"/>
    <col min="11016" max="11254" width="9.1328125" style="4"/>
    <col min="11255" max="11255" width="15.3984375" style="4" bestFit="1" customWidth="1"/>
    <col min="11256" max="11256" width="11.1328125" style="4" bestFit="1" customWidth="1"/>
    <col min="11257" max="11257" width="14.59765625" style="4" bestFit="1" customWidth="1"/>
    <col min="11258" max="11258" width="17.3984375" style="4" bestFit="1" customWidth="1"/>
    <col min="11259" max="11259" width="17.59765625" style="4" bestFit="1" customWidth="1"/>
    <col min="11260" max="11260" width="14.73046875" style="4" bestFit="1" customWidth="1"/>
    <col min="11261" max="11261" width="14.3984375" style="4" bestFit="1" customWidth="1"/>
    <col min="11262" max="11262" width="12.1328125" style="4" bestFit="1" customWidth="1"/>
    <col min="11263" max="11263" width="12.3984375" style="4" bestFit="1" customWidth="1"/>
    <col min="11264" max="11265" width="13.86328125" style="4" bestFit="1" customWidth="1"/>
    <col min="11266" max="11266" width="14.86328125" style="4" bestFit="1" customWidth="1"/>
    <col min="11267" max="11267" width="12.1328125" style="4" bestFit="1" customWidth="1"/>
    <col min="11268" max="11268" width="12.3984375" style="4" bestFit="1" customWidth="1"/>
    <col min="11269" max="11270" width="13.86328125" style="4" bestFit="1" customWidth="1"/>
    <col min="11271" max="11271" width="14.86328125" style="4" bestFit="1" customWidth="1"/>
    <col min="11272" max="11510" width="9.1328125" style="4"/>
    <col min="11511" max="11511" width="15.3984375" style="4" bestFit="1" customWidth="1"/>
    <col min="11512" max="11512" width="11.1328125" style="4" bestFit="1" customWidth="1"/>
    <col min="11513" max="11513" width="14.59765625" style="4" bestFit="1" customWidth="1"/>
    <col min="11514" max="11514" width="17.3984375" style="4" bestFit="1" customWidth="1"/>
    <col min="11515" max="11515" width="17.59765625" style="4" bestFit="1" customWidth="1"/>
    <col min="11516" max="11516" width="14.73046875" style="4" bestFit="1" customWidth="1"/>
    <col min="11517" max="11517" width="14.3984375" style="4" bestFit="1" customWidth="1"/>
    <col min="11518" max="11518" width="12.1328125" style="4" bestFit="1" customWidth="1"/>
    <col min="11519" max="11519" width="12.3984375" style="4" bestFit="1" customWidth="1"/>
    <col min="11520" max="11521" width="13.86328125" style="4" bestFit="1" customWidth="1"/>
    <col min="11522" max="11522" width="14.86328125" style="4" bestFit="1" customWidth="1"/>
    <col min="11523" max="11523" width="12.1328125" style="4" bestFit="1" customWidth="1"/>
    <col min="11524" max="11524" width="12.3984375" style="4" bestFit="1" customWidth="1"/>
    <col min="11525" max="11526" width="13.86328125" style="4" bestFit="1" customWidth="1"/>
    <col min="11527" max="11527" width="14.86328125" style="4" bestFit="1" customWidth="1"/>
    <col min="11528" max="11766" width="9.1328125" style="4"/>
    <col min="11767" max="11767" width="15.3984375" style="4" bestFit="1" customWidth="1"/>
    <col min="11768" max="11768" width="11.1328125" style="4" bestFit="1" customWidth="1"/>
    <col min="11769" max="11769" width="14.59765625" style="4" bestFit="1" customWidth="1"/>
    <col min="11770" max="11770" width="17.3984375" style="4" bestFit="1" customWidth="1"/>
    <col min="11771" max="11771" width="17.59765625" style="4" bestFit="1" customWidth="1"/>
    <col min="11772" max="11772" width="14.73046875" style="4" bestFit="1" customWidth="1"/>
    <col min="11773" max="11773" width="14.3984375" style="4" bestFit="1" customWidth="1"/>
    <col min="11774" max="11774" width="12.1328125" style="4" bestFit="1" customWidth="1"/>
    <col min="11775" max="11775" width="12.3984375" style="4" bestFit="1" customWidth="1"/>
    <col min="11776" max="11777" width="13.86328125" style="4" bestFit="1" customWidth="1"/>
    <col min="11778" max="11778" width="14.86328125" style="4" bestFit="1" customWidth="1"/>
    <col min="11779" max="11779" width="12.1328125" style="4" bestFit="1" customWidth="1"/>
    <col min="11780" max="11780" width="12.3984375" style="4" bestFit="1" customWidth="1"/>
    <col min="11781" max="11782" width="13.86328125" style="4" bestFit="1" customWidth="1"/>
    <col min="11783" max="11783" width="14.86328125" style="4" bestFit="1" customWidth="1"/>
    <col min="11784" max="12022" width="9.1328125" style="4"/>
    <col min="12023" max="12023" width="15.3984375" style="4" bestFit="1" customWidth="1"/>
    <col min="12024" max="12024" width="11.1328125" style="4" bestFit="1" customWidth="1"/>
    <col min="12025" max="12025" width="14.59765625" style="4" bestFit="1" customWidth="1"/>
    <col min="12026" max="12026" width="17.3984375" style="4" bestFit="1" customWidth="1"/>
    <col min="12027" max="12027" width="17.59765625" style="4" bestFit="1" customWidth="1"/>
    <col min="12028" max="12028" width="14.73046875" style="4" bestFit="1" customWidth="1"/>
    <col min="12029" max="12029" width="14.3984375" style="4" bestFit="1" customWidth="1"/>
    <col min="12030" max="12030" width="12.1328125" style="4" bestFit="1" customWidth="1"/>
    <col min="12031" max="12031" width="12.3984375" style="4" bestFit="1" customWidth="1"/>
    <col min="12032" max="12033" width="13.86328125" style="4" bestFit="1" customWidth="1"/>
    <col min="12034" max="12034" width="14.86328125" style="4" bestFit="1" customWidth="1"/>
    <col min="12035" max="12035" width="12.1328125" style="4" bestFit="1" customWidth="1"/>
    <col min="12036" max="12036" width="12.3984375" style="4" bestFit="1" customWidth="1"/>
    <col min="12037" max="12038" width="13.86328125" style="4" bestFit="1" customWidth="1"/>
    <col min="12039" max="12039" width="14.86328125" style="4" bestFit="1" customWidth="1"/>
    <col min="12040" max="12278" width="9.1328125" style="4"/>
    <col min="12279" max="12279" width="15.3984375" style="4" bestFit="1" customWidth="1"/>
    <col min="12280" max="12280" width="11.1328125" style="4" bestFit="1" customWidth="1"/>
    <col min="12281" max="12281" width="14.59765625" style="4" bestFit="1" customWidth="1"/>
    <col min="12282" max="12282" width="17.3984375" style="4" bestFit="1" customWidth="1"/>
    <col min="12283" max="12283" width="17.59765625" style="4" bestFit="1" customWidth="1"/>
    <col min="12284" max="12284" width="14.73046875" style="4" bestFit="1" customWidth="1"/>
    <col min="12285" max="12285" width="14.3984375" style="4" bestFit="1" customWidth="1"/>
    <col min="12286" max="12286" width="12.1328125" style="4" bestFit="1" customWidth="1"/>
    <col min="12287" max="12287" width="12.3984375" style="4" bestFit="1" customWidth="1"/>
    <col min="12288" max="12289" width="13.86328125" style="4" bestFit="1" customWidth="1"/>
    <col min="12290" max="12290" width="14.86328125" style="4" bestFit="1" customWidth="1"/>
    <col min="12291" max="12291" width="12.1328125" style="4" bestFit="1" customWidth="1"/>
    <col min="12292" max="12292" width="12.3984375" style="4" bestFit="1" customWidth="1"/>
    <col min="12293" max="12294" width="13.86328125" style="4" bestFit="1" customWidth="1"/>
    <col min="12295" max="12295" width="14.86328125" style="4" bestFit="1" customWidth="1"/>
    <col min="12296" max="12534" width="9.1328125" style="4"/>
    <col min="12535" max="12535" width="15.3984375" style="4" bestFit="1" customWidth="1"/>
    <col min="12536" max="12536" width="11.1328125" style="4" bestFit="1" customWidth="1"/>
    <col min="12537" max="12537" width="14.59765625" style="4" bestFit="1" customWidth="1"/>
    <col min="12538" max="12538" width="17.3984375" style="4" bestFit="1" customWidth="1"/>
    <col min="12539" max="12539" width="17.59765625" style="4" bestFit="1" customWidth="1"/>
    <col min="12540" max="12540" width="14.73046875" style="4" bestFit="1" customWidth="1"/>
    <col min="12541" max="12541" width="14.3984375" style="4" bestFit="1" customWidth="1"/>
    <col min="12542" max="12542" width="12.1328125" style="4" bestFit="1" customWidth="1"/>
    <col min="12543" max="12543" width="12.3984375" style="4" bestFit="1" customWidth="1"/>
    <col min="12544" max="12545" width="13.86328125" style="4" bestFit="1" customWidth="1"/>
    <col min="12546" max="12546" width="14.86328125" style="4" bestFit="1" customWidth="1"/>
    <col min="12547" max="12547" width="12.1328125" style="4" bestFit="1" customWidth="1"/>
    <col min="12548" max="12548" width="12.3984375" style="4" bestFit="1" customWidth="1"/>
    <col min="12549" max="12550" width="13.86328125" style="4" bestFit="1" customWidth="1"/>
    <col min="12551" max="12551" width="14.86328125" style="4" bestFit="1" customWidth="1"/>
    <col min="12552" max="12790" width="9.1328125" style="4"/>
    <col min="12791" max="12791" width="15.3984375" style="4" bestFit="1" customWidth="1"/>
    <col min="12792" max="12792" width="11.1328125" style="4" bestFit="1" customWidth="1"/>
    <col min="12793" max="12793" width="14.59765625" style="4" bestFit="1" customWidth="1"/>
    <col min="12794" max="12794" width="17.3984375" style="4" bestFit="1" customWidth="1"/>
    <col min="12795" max="12795" width="17.59765625" style="4" bestFit="1" customWidth="1"/>
    <col min="12796" max="12796" width="14.73046875" style="4" bestFit="1" customWidth="1"/>
    <col min="12797" max="12797" width="14.3984375" style="4" bestFit="1" customWidth="1"/>
    <col min="12798" max="12798" width="12.1328125" style="4" bestFit="1" customWidth="1"/>
    <col min="12799" max="12799" width="12.3984375" style="4" bestFit="1" customWidth="1"/>
    <col min="12800" max="12801" width="13.86328125" style="4" bestFit="1" customWidth="1"/>
    <col min="12802" max="12802" width="14.86328125" style="4" bestFit="1" customWidth="1"/>
    <col min="12803" max="12803" width="12.1328125" style="4" bestFit="1" customWidth="1"/>
    <col min="12804" max="12804" width="12.3984375" style="4" bestFit="1" customWidth="1"/>
    <col min="12805" max="12806" width="13.86328125" style="4" bestFit="1" customWidth="1"/>
    <col min="12807" max="12807" width="14.86328125" style="4" bestFit="1" customWidth="1"/>
    <col min="12808" max="13046" width="9.1328125" style="4"/>
    <col min="13047" max="13047" width="15.3984375" style="4" bestFit="1" customWidth="1"/>
    <col min="13048" max="13048" width="11.1328125" style="4" bestFit="1" customWidth="1"/>
    <col min="13049" max="13049" width="14.59765625" style="4" bestFit="1" customWidth="1"/>
    <col min="13050" max="13050" width="17.3984375" style="4" bestFit="1" customWidth="1"/>
    <col min="13051" max="13051" width="17.59765625" style="4" bestFit="1" customWidth="1"/>
    <col min="13052" max="13052" width="14.73046875" style="4" bestFit="1" customWidth="1"/>
    <col min="13053" max="13053" width="14.3984375" style="4" bestFit="1" customWidth="1"/>
    <col min="13054" max="13054" width="12.1328125" style="4" bestFit="1" customWidth="1"/>
    <col min="13055" max="13055" width="12.3984375" style="4" bestFit="1" customWidth="1"/>
    <col min="13056" max="13057" width="13.86328125" style="4" bestFit="1" customWidth="1"/>
    <col min="13058" max="13058" width="14.86328125" style="4" bestFit="1" customWidth="1"/>
    <col min="13059" max="13059" width="12.1328125" style="4" bestFit="1" customWidth="1"/>
    <col min="13060" max="13060" width="12.3984375" style="4" bestFit="1" customWidth="1"/>
    <col min="13061" max="13062" width="13.86328125" style="4" bestFit="1" customWidth="1"/>
    <col min="13063" max="13063" width="14.86328125" style="4" bestFit="1" customWidth="1"/>
    <col min="13064" max="13302" width="9.1328125" style="4"/>
    <col min="13303" max="13303" width="15.3984375" style="4" bestFit="1" customWidth="1"/>
    <col min="13304" max="13304" width="11.1328125" style="4" bestFit="1" customWidth="1"/>
    <col min="13305" max="13305" width="14.59765625" style="4" bestFit="1" customWidth="1"/>
    <col min="13306" max="13306" width="17.3984375" style="4" bestFit="1" customWidth="1"/>
    <col min="13307" max="13307" width="17.59765625" style="4" bestFit="1" customWidth="1"/>
    <col min="13308" max="13308" width="14.73046875" style="4" bestFit="1" customWidth="1"/>
    <col min="13309" max="13309" width="14.3984375" style="4" bestFit="1" customWidth="1"/>
    <col min="13310" max="13310" width="12.1328125" style="4" bestFit="1" customWidth="1"/>
    <col min="13311" max="13311" width="12.3984375" style="4" bestFit="1" customWidth="1"/>
    <col min="13312" max="13313" width="13.86328125" style="4" bestFit="1" customWidth="1"/>
    <col min="13314" max="13314" width="14.86328125" style="4" bestFit="1" customWidth="1"/>
    <col min="13315" max="13315" width="12.1328125" style="4" bestFit="1" customWidth="1"/>
    <col min="13316" max="13316" width="12.3984375" style="4" bestFit="1" customWidth="1"/>
    <col min="13317" max="13318" width="13.86328125" style="4" bestFit="1" customWidth="1"/>
    <col min="13319" max="13319" width="14.86328125" style="4" bestFit="1" customWidth="1"/>
    <col min="13320" max="13558" width="9.1328125" style="4"/>
    <col min="13559" max="13559" width="15.3984375" style="4" bestFit="1" customWidth="1"/>
    <col min="13560" max="13560" width="11.1328125" style="4" bestFit="1" customWidth="1"/>
    <col min="13561" max="13561" width="14.59765625" style="4" bestFit="1" customWidth="1"/>
    <col min="13562" max="13562" width="17.3984375" style="4" bestFit="1" customWidth="1"/>
    <col min="13563" max="13563" width="17.59765625" style="4" bestFit="1" customWidth="1"/>
    <col min="13564" max="13564" width="14.73046875" style="4" bestFit="1" customWidth="1"/>
    <col min="13565" max="13565" width="14.3984375" style="4" bestFit="1" customWidth="1"/>
    <col min="13566" max="13566" width="12.1328125" style="4" bestFit="1" customWidth="1"/>
    <col min="13567" max="13567" width="12.3984375" style="4" bestFit="1" customWidth="1"/>
    <col min="13568" max="13569" width="13.86328125" style="4" bestFit="1" customWidth="1"/>
    <col min="13570" max="13570" width="14.86328125" style="4" bestFit="1" customWidth="1"/>
    <col min="13571" max="13571" width="12.1328125" style="4" bestFit="1" customWidth="1"/>
    <col min="13572" max="13572" width="12.3984375" style="4" bestFit="1" customWidth="1"/>
    <col min="13573" max="13574" width="13.86328125" style="4" bestFit="1" customWidth="1"/>
    <col min="13575" max="13575" width="14.86328125" style="4" bestFit="1" customWidth="1"/>
    <col min="13576" max="13814" width="9.1328125" style="4"/>
    <col min="13815" max="13815" width="15.3984375" style="4" bestFit="1" customWidth="1"/>
    <col min="13816" max="13816" width="11.1328125" style="4" bestFit="1" customWidth="1"/>
    <col min="13817" max="13817" width="14.59765625" style="4" bestFit="1" customWidth="1"/>
    <col min="13818" max="13818" width="17.3984375" style="4" bestFit="1" customWidth="1"/>
    <col min="13819" max="13819" width="17.59765625" style="4" bestFit="1" customWidth="1"/>
    <col min="13820" max="13820" width="14.73046875" style="4" bestFit="1" customWidth="1"/>
    <col min="13821" max="13821" width="14.3984375" style="4" bestFit="1" customWidth="1"/>
    <col min="13822" max="13822" width="12.1328125" style="4" bestFit="1" customWidth="1"/>
    <col min="13823" max="13823" width="12.3984375" style="4" bestFit="1" customWidth="1"/>
    <col min="13824" max="13825" width="13.86328125" style="4" bestFit="1" customWidth="1"/>
    <col min="13826" max="13826" width="14.86328125" style="4" bestFit="1" customWidth="1"/>
    <col min="13827" max="13827" width="12.1328125" style="4" bestFit="1" customWidth="1"/>
    <col min="13828" max="13828" width="12.3984375" style="4" bestFit="1" customWidth="1"/>
    <col min="13829" max="13830" width="13.86328125" style="4" bestFit="1" customWidth="1"/>
    <col min="13831" max="13831" width="14.86328125" style="4" bestFit="1" customWidth="1"/>
    <col min="13832" max="14070" width="9.1328125" style="4"/>
    <col min="14071" max="14071" width="15.3984375" style="4" bestFit="1" customWidth="1"/>
    <col min="14072" max="14072" width="11.1328125" style="4" bestFit="1" customWidth="1"/>
    <col min="14073" max="14073" width="14.59765625" style="4" bestFit="1" customWidth="1"/>
    <col min="14074" max="14074" width="17.3984375" style="4" bestFit="1" customWidth="1"/>
    <col min="14075" max="14075" width="17.59765625" style="4" bestFit="1" customWidth="1"/>
    <col min="14076" max="14076" width="14.73046875" style="4" bestFit="1" customWidth="1"/>
    <col min="14077" max="14077" width="14.3984375" style="4" bestFit="1" customWidth="1"/>
    <col min="14078" max="14078" width="12.1328125" style="4" bestFit="1" customWidth="1"/>
    <col min="14079" max="14079" width="12.3984375" style="4" bestFit="1" customWidth="1"/>
    <col min="14080" max="14081" width="13.86328125" style="4" bestFit="1" customWidth="1"/>
    <col min="14082" max="14082" width="14.86328125" style="4" bestFit="1" customWidth="1"/>
    <col min="14083" max="14083" width="12.1328125" style="4" bestFit="1" customWidth="1"/>
    <col min="14084" max="14084" width="12.3984375" style="4" bestFit="1" customWidth="1"/>
    <col min="14085" max="14086" width="13.86328125" style="4" bestFit="1" customWidth="1"/>
    <col min="14087" max="14087" width="14.86328125" style="4" bestFit="1" customWidth="1"/>
    <col min="14088" max="14326" width="9.1328125" style="4"/>
    <col min="14327" max="14327" width="15.3984375" style="4" bestFit="1" customWidth="1"/>
    <col min="14328" max="14328" width="11.1328125" style="4" bestFit="1" customWidth="1"/>
    <col min="14329" max="14329" width="14.59765625" style="4" bestFit="1" customWidth="1"/>
    <col min="14330" max="14330" width="17.3984375" style="4" bestFit="1" customWidth="1"/>
    <col min="14331" max="14331" width="17.59765625" style="4" bestFit="1" customWidth="1"/>
    <col min="14332" max="14332" width="14.73046875" style="4" bestFit="1" customWidth="1"/>
    <col min="14333" max="14333" width="14.3984375" style="4" bestFit="1" customWidth="1"/>
    <col min="14334" max="14334" width="12.1328125" style="4" bestFit="1" customWidth="1"/>
    <col min="14335" max="14335" width="12.3984375" style="4" bestFit="1" customWidth="1"/>
    <col min="14336" max="14337" width="13.86328125" style="4" bestFit="1" customWidth="1"/>
    <col min="14338" max="14338" width="14.86328125" style="4" bestFit="1" customWidth="1"/>
    <col min="14339" max="14339" width="12.1328125" style="4" bestFit="1" customWidth="1"/>
    <col min="14340" max="14340" width="12.3984375" style="4" bestFit="1" customWidth="1"/>
    <col min="14341" max="14342" width="13.86328125" style="4" bestFit="1" customWidth="1"/>
    <col min="14343" max="14343" width="14.86328125" style="4" bestFit="1" customWidth="1"/>
    <col min="14344" max="14582" width="9.1328125" style="4"/>
    <col min="14583" max="14583" width="15.3984375" style="4" bestFit="1" customWidth="1"/>
    <col min="14584" max="14584" width="11.1328125" style="4" bestFit="1" customWidth="1"/>
    <col min="14585" max="14585" width="14.59765625" style="4" bestFit="1" customWidth="1"/>
    <col min="14586" max="14586" width="17.3984375" style="4" bestFit="1" customWidth="1"/>
    <col min="14587" max="14587" width="17.59765625" style="4" bestFit="1" customWidth="1"/>
    <col min="14588" max="14588" width="14.73046875" style="4" bestFit="1" customWidth="1"/>
    <col min="14589" max="14589" width="14.3984375" style="4" bestFit="1" customWidth="1"/>
    <col min="14590" max="14590" width="12.1328125" style="4" bestFit="1" customWidth="1"/>
    <col min="14591" max="14591" width="12.3984375" style="4" bestFit="1" customWidth="1"/>
    <col min="14592" max="14593" width="13.86328125" style="4" bestFit="1" customWidth="1"/>
    <col min="14594" max="14594" width="14.86328125" style="4" bestFit="1" customWidth="1"/>
    <col min="14595" max="14595" width="12.1328125" style="4" bestFit="1" customWidth="1"/>
    <col min="14596" max="14596" width="12.3984375" style="4" bestFit="1" customWidth="1"/>
    <col min="14597" max="14598" width="13.86328125" style="4" bestFit="1" customWidth="1"/>
    <col min="14599" max="14599" width="14.86328125" style="4" bestFit="1" customWidth="1"/>
    <col min="14600" max="14838" width="9.1328125" style="4"/>
    <col min="14839" max="14839" width="15.3984375" style="4" bestFit="1" customWidth="1"/>
    <col min="14840" max="14840" width="11.1328125" style="4" bestFit="1" customWidth="1"/>
    <col min="14841" max="14841" width="14.59765625" style="4" bestFit="1" customWidth="1"/>
    <col min="14842" max="14842" width="17.3984375" style="4" bestFit="1" customWidth="1"/>
    <col min="14843" max="14843" width="17.59765625" style="4" bestFit="1" customWidth="1"/>
    <col min="14844" max="14844" width="14.73046875" style="4" bestFit="1" customWidth="1"/>
    <col min="14845" max="14845" width="14.3984375" style="4" bestFit="1" customWidth="1"/>
    <col min="14846" max="14846" width="12.1328125" style="4" bestFit="1" customWidth="1"/>
    <col min="14847" max="14847" width="12.3984375" style="4" bestFit="1" customWidth="1"/>
    <col min="14848" max="14849" width="13.86328125" style="4" bestFit="1" customWidth="1"/>
    <col min="14850" max="14850" width="14.86328125" style="4" bestFit="1" customWidth="1"/>
    <col min="14851" max="14851" width="12.1328125" style="4" bestFit="1" customWidth="1"/>
    <col min="14852" max="14852" width="12.3984375" style="4" bestFit="1" customWidth="1"/>
    <col min="14853" max="14854" width="13.86328125" style="4" bestFit="1" customWidth="1"/>
    <col min="14855" max="14855" width="14.86328125" style="4" bestFit="1" customWidth="1"/>
    <col min="14856" max="15094" width="9.1328125" style="4"/>
    <col min="15095" max="15095" width="15.3984375" style="4" bestFit="1" customWidth="1"/>
    <col min="15096" max="15096" width="11.1328125" style="4" bestFit="1" customWidth="1"/>
    <col min="15097" max="15097" width="14.59765625" style="4" bestFit="1" customWidth="1"/>
    <col min="15098" max="15098" width="17.3984375" style="4" bestFit="1" customWidth="1"/>
    <col min="15099" max="15099" width="17.59765625" style="4" bestFit="1" customWidth="1"/>
    <col min="15100" max="15100" width="14.73046875" style="4" bestFit="1" customWidth="1"/>
    <col min="15101" max="15101" width="14.3984375" style="4" bestFit="1" customWidth="1"/>
    <col min="15102" max="15102" width="12.1328125" style="4" bestFit="1" customWidth="1"/>
    <col min="15103" max="15103" width="12.3984375" style="4" bestFit="1" customWidth="1"/>
    <col min="15104" max="15105" width="13.86328125" style="4" bestFit="1" customWidth="1"/>
    <col min="15106" max="15106" width="14.86328125" style="4" bestFit="1" customWidth="1"/>
    <col min="15107" max="15107" width="12.1328125" style="4" bestFit="1" customWidth="1"/>
    <col min="15108" max="15108" width="12.3984375" style="4" bestFit="1" customWidth="1"/>
    <col min="15109" max="15110" width="13.86328125" style="4" bestFit="1" customWidth="1"/>
    <col min="15111" max="15111" width="14.86328125" style="4" bestFit="1" customWidth="1"/>
    <col min="15112" max="15350" width="9.1328125" style="4"/>
    <col min="15351" max="15351" width="15.3984375" style="4" bestFit="1" customWidth="1"/>
    <col min="15352" max="15352" width="11.1328125" style="4" bestFit="1" customWidth="1"/>
    <col min="15353" max="15353" width="14.59765625" style="4" bestFit="1" customWidth="1"/>
    <col min="15354" max="15354" width="17.3984375" style="4" bestFit="1" customWidth="1"/>
    <col min="15355" max="15355" width="17.59765625" style="4" bestFit="1" customWidth="1"/>
    <col min="15356" max="15356" width="14.73046875" style="4" bestFit="1" customWidth="1"/>
    <col min="15357" max="15357" width="14.3984375" style="4" bestFit="1" customWidth="1"/>
    <col min="15358" max="15358" width="12.1328125" style="4" bestFit="1" customWidth="1"/>
    <col min="15359" max="15359" width="12.3984375" style="4" bestFit="1" customWidth="1"/>
    <col min="15360" max="15361" width="13.86328125" style="4" bestFit="1" customWidth="1"/>
    <col min="15362" max="15362" width="14.86328125" style="4" bestFit="1" customWidth="1"/>
    <col min="15363" max="15363" width="12.1328125" style="4" bestFit="1" customWidth="1"/>
    <col min="15364" max="15364" width="12.3984375" style="4" bestFit="1" customWidth="1"/>
    <col min="15365" max="15366" width="13.86328125" style="4" bestFit="1" customWidth="1"/>
    <col min="15367" max="15367" width="14.86328125" style="4" bestFit="1" customWidth="1"/>
    <col min="15368" max="15606" width="9.1328125" style="4"/>
    <col min="15607" max="15607" width="15.3984375" style="4" bestFit="1" customWidth="1"/>
    <col min="15608" max="15608" width="11.1328125" style="4" bestFit="1" customWidth="1"/>
    <col min="15609" max="15609" width="14.59765625" style="4" bestFit="1" customWidth="1"/>
    <col min="15610" max="15610" width="17.3984375" style="4" bestFit="1" customWidth="1"/>
    <col min="15611" max="15611" width="17.59765625" style="4" bestFit="1" customWidth="1"/>
    <col min="15612" max="15612" width="14.73046875" style="4" bestFit="1" customWidth="1"/>
    <col min="15613" max="15613" width="14.3984375" style="4" bestFit="1" customWidth="1"/>
    <col min="15614" max="15614" width="12.1328125" style="4" bestFit="1" customWidth="1"/>
    <col min="15615" max="15615" width="12.3984375" style="4" bestFit="1" customWidth="1"/>
    <col min="15616" max="15617" width="13.86328125" style="4" bestFit="1" customWidth="1"/>
    <col min="15618" max="15618" width="14.86328125" style="4" bestFit="1" customWidth="1"/>
    <col min="15619" max="15619" width="12.1328125" style="4" bestFit="1" customWidth="1"/>
    <col min="15620" max="15620" width="12.3984375" style="4" bestFit="1" customWidth="1"/>
    <col min="15621" max="15622" width="13.86328125" style="4" bestFit="1" customWidth="1"/>
    <col min="15623" max="15623" width="14.86328125" style="4" bestFit="1" customWidth="1"/>
    <col min="15624" max="15862" width="9.1328125" style="4"/>
    <col min="15863" max="15863" width="15.3984375" style="4" bestFit="1" customWidth="1"/>
    <col min="15864" max="15864" width="11.1328125" style="4" bestFit="1" customWidth="1"/>
    <col min="15865" max="15865" width="14.59765625" style="4" bestFit="1" customWidth="1"/>
    <col min="15866" max="15866" width="17.3984375" style="4" bestFit="1" customWidth="1"/>
    <col min="15867" max="15867" width="17.59765625" style="4" bestFit="1" customWidth="1"/>
    <col min="15868" max="15868" width="14.73046875" style="4" bestFit="1" customWidth="1"/>
    <col min="15869" max="15869" width="14.3984375" style="4" bestFit="1" customWidth="1"/>
    <col min="15870" max="15870" width="12.1328125" style="4" bestFit="1" customWidth="1"/>
    <col min="15871" max="15871" width="12.3984375" style="4" bestFit="1" customWidth="1"/>
    <col min="15872" max="15873" width="13.86328125" style="4" bestFit="1" customWidth="1"/>
    <col min="15874" max="15874" width="14.86328125" style="4" bestFit="1" customWidth="1"/>
    <col min="15875" max="15875" width="12.1328125" style="4" bestFit="1" customWidth="1"/>
    <col min="15876" max="15876" width="12.3984375" style="4" bestFit="1" customWidth="1"/>
    <col min="15877" max="15878" width="13.86328125" style="4" bestFit="1" customWidth="1"/>
    <col min="15879" max="15879" width="14.86328125" style="4" bestFit="1" customWidth="1"/>
    <col min="15880" max="16118" width="9.1328125" style="4"/>
    <col min="16119" max="16119" width="15.3984375" style="4" bestFit="1" customWidth="1"/>
    <col min="16120" max="16120" width="11.1328125" style="4" bestFit="1" customWidth="1"/>
    <col min="16121" max="16121" width="14.59765625" style="4" bestFit="1" customWidth="1"/>
    <col min="16122" max="16122" width="17.3984375" style="4" bestFit="1" customWidth="1"/>
    <col min="16123" max="16123" width="17.59765625" style="4" bestFit="1" customWidth="1"/>
    <col min="16124" max="16124" width="14.73046875" style="4" bestFit="1" customWidth="1"/>
    <col min="16125" max="16125" width="14.3984375" style="4" bestFit="1" customWidth="1"/>
    <col min="16126" max="16126" width="12.1328125" style="4" bestFit="1" customWidth="1"/>
    <col min="16127" max="16127" width="12.3984375" style="4" bestFit="1" customWidth="1"/>
    <col min="16128" max="16129" width="13.86328125" style="4" bestFit="1" customWidth="1"/>
    <col min="16130" max="16130" width="14.86328125" style="4" bestFit="1" customWidth="1"/>
    <col min="16131" max="16131" width="12.1328125" style="4" bestFit="1" customWidth="1"/>
    <col min="16132" max="16132" width="12.3984375" style="4" bestFit="1" customWidth="1"/>
    <col min="16133" max="16134" width="13.86328125" style="4" bestFit="1" customWidth="1"/>
    <col min="16135" max="16135" width="14.86328125" style="4" bestFit="1" customWidth="1"/>
    <col min="16136" max="16384" width="9.1328125" style="4"/>
  </cols>
  <sheetData>
    <row r="1" spans="1:9">
      <c r="A1" s="57" t="s">
        <v>323</v>
      </c>
      <c r="B1" s="87" t="s">
        <v>324</v>
      </c>
      <c r="C1" s="58" t="s">
        <v>322</v>
      </c>
      <c r="D1" s="59" t="s">
        <v>198</v>
      </c>
      <c r="E1" s="59" t="s">
        <v>200</v>
      </c>
      <c r="F1" s="59" t="s">
        <v>199</v>
      </c>
      <c r="G1" s="59" t="s">
        <v>201</v>
      </c>
      <c r="H1" s="59" t="s">
        <v>213</v>
      </c>
      <c r="I1" s="59" t="s">
        <v>214</v>
      </c>
    </row>
    <row r="2" spans="1:9">
      <c r="A2" s="60" t="s">
        <v>5</v>
      </c>
      <c r="B2" s="76" t="s">
        <v>6</v>
      </c>
      <c r="C2" s="58">
        <v>5</v>
      </c>
      <c r="D2" s="61">
        <f>IFERROR((($C2*st_DL)/st_res!C2),".")</f>
        <v>31.723307539237144</v>
      </c>
      <c r="E2" s="61">
        <f>IFERROR((($C2*st_DL)/st_res!D2),".")</f>
        <v>8974.1819719258383</v>
      </c>
      <c r="F2" s="61">
        <f>IFERROR((($C2*st_DL)/st_res!E2),".")</f>
        <v>97.114184140125587</v>
      </c>
      <c r="G2" s="61">
        <f>IFERROR((($C2*st_DL)/st_res!F2),".")</f>
        <v>2.3549853592129029E-2</v>
      </c>
      <c r="H2" s="61">
        <f>IFERROR((($C2*st_DL)/st_res!G2),".")</f>
        <v>128.86104153295486</v>
      </c>
      <c r="I2" s="61">
        <f>IFERROR((($C2*st_DL)/st_res!H2),".")</f>
        <v>9005.9288293186673</v>
      </c>
    </row>
    <row r="3" spans="1:9">
      <c r="A3" s="62" t="s">
        <v>7</v>
      </c>
      <c r="B3" s="76" t="s">
        <v>8</v>
      </c>
      <c r="C3" s="58">
        <v>5</v>
      </c>
      <c r="D3" s="61">
        <f>IFERROR((($C3*st_DL)/st_res!C3),".")</f>
        <v>144.36227905044819</v>
      </c>
      <c r="E3" s="61">
        <f>IFERROR((($C3*st_DL)/st_res!D3),".")</f>
        <v>95900.57205293297</v>
      </c>
      <c r="F3" s="61">
        <f>IFERROR((($C3*st_DL)/st_res!E3),".")</f>
        <v>1037.7888305170284</v>
      </c>
      <c r="G3" s="61">
        <f>IFERROR((($C3*st_DL)/st_res!F3),".")</f>
        <v>3.9077510058360271E-2</v>
      </c>
      <c r="H3" s="61">
        <f>IFERROR((($C3*st_DL)/st_res!G3),".")</f>
        <v>1182.190187077535</v>
      </c>
      <c r="I3" s="61">
        <f>IFERROR((($C3*st_DL)/st_res!H3),".")</f>
        <v>96044.973409493483</v>
      </c>
    </row>
    <row r="4" spans="1:9">
      <c r="A4" s="60" t="s">
        <v>9</v>
      </c>
      <c r="B4" s="88" t="s">
        <v>6</v>
      </c>
      <c r="C4" s="58">
        <v>5</v>
      </c>
      <c r="D4" s="61" t="str">
        <f>IFERROR((($C4*st_DL)/st_res!C4),".")</f>
        <v>.</v>
      </c>
      <c r="E4" s="61" t="str">
        <f>IFERROR((($C4*st_DL)/st_res!D4),".")</f>
        <v>.</v>
      </c>
      <c r="F4" s="61" t="str">
        <f>IFERROR((($C4*st_DL)/st_res!E4),".")</f>
        <v>.</v>
      </c>
      <c r="G4" s="61">
        <f>IFERROR((($C4*st_DL)/st_res!F4),".")</f>
        <v>3.7734824864736697E-4</v>
      </c>
      <c r="H4" s="61">
        <f>IFERROR((($C4*st_DL)/st_res!G4),".")</f>
        <v>3.7734824864736697E-4</v>
      </c>
      <c r="I4" s="61">
        <f>IFERROR((($C4*st_DL)/st_res!H4),".")</f>
        <v>3.7734824864736697E-4</v>
      </c>
    </row>
    <row r="5" spans="1:9">
      <c r="A5" s="60" t="s">
        <v>10</v>
      </c>
      <c r="B5" s="88" t="s">
        <v>6</v>
      </c>
      <c r="C5" s="58">
        <v>5</v>
      </c>
      <c r="D5" s="61" t="str">
        <f>IFERROR((($C5*st_DL)/st_res!C5),".")</f>
        <v>.</v>
      </c>
      <c r="E5" s="61" t="str">
        <f>IFERROR((($C5*st_DL)/st_res!D5),".")</f>
        <v>.</v>
      </c>
      <c r="F5" s="61" t="str">
        <f>IFERROR((($C5*st_DL)/st_res!E5),".")</f>
        <v>.</v>
      </c>
      <c r="G5" s="61">
        <f>IFERROR((($C5*st_DL)/st_res!F5),".")</f>
        <v>2.045630662334962E-4</v>
      </c>
      <c r="H5" s="61">
        <f>IFERROR((($C5*st_DL)/st_res!G5),".")</f>
        <v>2.0456306623349623E-4</v>
      </c>
      <c r="I5" s="61">
        <f>IFERROR((($C5*st_DL)/st_res!H5),".")</f>
        <v>2.0456306623349623E-4</v>
      </c>
    </row>
    <row r="6" spans="1:9">
      <c r="A6" s="60" t="s">
        <v>11</v>
      </c>
      <c r="B6" s="88" t="s">
        <v>6</v>
      </c>
      <c r="C6" s="58">
        <v>5</v>
      </c>
      <c r="D6" s="61" t="str">
        <f>IFERROR((($C6*st_DL)/st_res!C6),".")</f>
        <v>.</v>
      </c>
      <c r="E6" s="61" t="str">
        <f>IFERROR((($C6*st_DL)/st_res!D6),".")</f>
        <v>.</v>
      </c>
      <c r="F6" s="61" t="str">
        <f>IFERROR((($C6*st_DL)/st_res!E6),".")</f>
        <v>.</v>
      </c>
      <c r="G6" s="61">
        <f>IFERROR((($C6*st_DL)/st_res!F6),".")</f>
        <v>0.92995609685906344</v>
      </c>
      <c r="H6" s="61">
        <f>IFERROR((($C6*st_DL)/st_res!G6),".")</f>
        <v>0.92995609685906322</v>
      </c>
      <c r="I6" s="61">
        <f>IFERROR((($C6*st_DL)/st_res!H6),".")</f>
        <v>0.92995609685906322</v>
      </c>
    </row>
    <row r="7" spans="1:9">
      <c r="A7" s="60" t="s">
        <v>12</v>
      </c>
      <c r="B7" s="88" t="s">
        <v>6</v>
      </c>
      <c r="C7" s="58">
        <v>5</v>
      </c>
      <c r="D7" s="61">
        <f>IFERROR((($C7*st_DL)/st_res!C7),".")</f>
        <v>1.0918155558437257</v>
      </c>
      <c r="E7" s="61">
        <f>IFERROR((($C7*st_DL)/st_res!D7),".")</f>
        <v>142.72664138356996</v>
      </c>
      <c r="F7" s="61">
        <f>IFERROR((($C7*st_DL)/st_res!E7),".")</f>
        <v>1.5445175255401238</v>
      </c>
      <c r="G7" s="61">
        <f>IFERROR((($C7*st_DL)/st_res!F7),".")</f>
        <v>5.8077992877504182E-2</v>
      </c>
      <c r="H7" s="61">
        <f>IFERROR((($C7*st_DL)/st_res!G7),".")</f>
        <v>2.6944110742613536</v>
      </c>
      <c r="I7" s="61">
        <f>IFERROR((($C7*st_DL)/st_res!H7),".")</f>
        <v>143.87653493229118</v>
      </c>
    </row>
    <row r="8" spans="1:9">
      <c r="A8" s="60" t="s">
        <v>13</v>
      </c>
      <c r="B8" s="88" t="s">
        <v>6</v>
      </c>
      <c r="C8" s="58">
        <v>5</v>
      </c>
      <c r="D8" s="61">
        <f>IFERROR((($C8*st_DL)/st_res!C8),".")</f>
        <v>0.16255920498117693</v>
      </c>
      <c r="E8" s="61">
        <f>IFERROR((($C8*st_DL)/st_res!D8),".")</f>
        <v>34.704080610388587</v>
      </c>
      <c r="F8" s="61">
        <f>IFERROR((($C8*st_DL)/st_res!E8),".")</f>
        <v>0.3755504942237971</v>
      </c>
      <c r="G8" s="61">
        <f>IFERROR((($C8*st_DL)/st_res!F8),".")</f>
        <v>0.26448164478739233</v>
      </c>
      <c r="H8" s="61">
        <f>IFERROR((($C8*st_DL)/st_res!G8),".")</f>
        <v>0.8025913439923662</v>
      </c>
      <c r="I8" s="61">
        <f>IFERROR((($C8*st_DL)/st_res!H8),".")</f>
        <v>35.131121460157146</v>
      </c>
    </row>
    <row r="9" spans="1:9">
      <c r="A9" s="60" t="s">
        <v>14</v>
      </c>
      <c r="B9" s="88" t="s">
        <v>6</v>
      </c>
      <c r="C9" s="58">
        <v>5</v>
      </c>
      <c r="D9" s="61">
        <f>IFERROR((($C9*st_DL)/st_res!C9),".")</f>
        <v>9.0378065455952852E-2</v>
      </c>
      <c r="E9" s="61">
        <f>IFERROR((($C9*st_DL)/st_res!D9),".")</f>
        <v>9.6701130593088855</v>
      </c>
      <c r="F9" s="61">
        <f>IFERROR((($C9*st_DL)/st_res!E9),".")</f>
        <v>0.10464520813544709</v>
      </c>
      <c r="G9" s="61">
        <f>IFERROR((($C9*st_DL)/st_res!F9),".")</f>
        <v>2.2356691964944257</v>
      </c>
      <c r="H9" s="61">
        <f>IFERROR((($C9*st_DL)/st_res!G9),".")</f>
        <v>2.4306924700858259</v>
      </c>
      <c r="I9" s="61">
        <f>IFERROR((($C9*st_DL)/st_res!H9),".")</f>
        <v>11.996160321259262</v>
      </c>
    </row>
    <row r="10" spans="1:9">
      <c r="A10" s="62" t="s">
        <v>15</v>
      </c>
      <c r="B10" s="88" t="s">
        <v>8</v>
      </c>
      <c r="C10" s="58">
        <v>5</v>
      </c>
      <c r="D10" s="61">
        <f>IFERROR((($C10*st_DL)/st_res!C10),".")</f>
        <v>8.0673038292897523</v>
      </c>
      <c r="E10" s="61">
        <f>IFERROR((($C10*st_DL)/st_res!D10),".")</f>
        <v>40.765074970512799</v>
      </c>
      <c r="F10" s="61">
        <f>IFERROR((($C10*st_DL)/st_res!E10),".")</f>
        <v>0.44113959462344632</v>
      </c>
      <c r="G10" s="61">
        <f>IFERROR((($C10*st_DL)/st_res!F10),".")</f>
        <v>5.1519299794153149E-3</v>
      </c>
      <c r="H10" s="61">
        <f>IFERROR((($C10*st_DL)/st_res!G10),".")</f>
        <v>8.5135953538926135</v>
      </c>
      <c r="I10" s="61">
        <f>IFERROR((($C10*st_DL)/st_res!H10),".")</f>
        <v>48.837530729781967</v>
      </c>
    </row>
    <row r="11" spans="1:9">
      <c r="A11" s="60" t="s">
        <v>16</v>
      </c>
      <c r="B11" s="88" t="s">
        <v>6</v>
      </c>
      <c r="C11" s="58">
        <v>5</v>
      </c>
      <c r="D11" s="61" t="str">
        <f>IFERROR((($C11*st_DL)/st_res!C11),".")</f>
        <v>.</v>
      </c>
      <c r="E11" s="61" t="str">
        <f>IFERROR((($C11*st_DL)/st_res!D11),".")</f>
        <v>.</v>
      </c>
      <c r="F11" s="61" t="str">
        <f>IFERROR((($C11*st_DL)/st_res!E11),".")</f>
        <v>.</v>
      </c>
      <c r="G11" s="61">
        <f>IFERROR((($C11*st_DL)/st_res!F11),".")</f>
        <v>4.5368859881170627E-2</v>
      </c>
      <c r="H11" s="61">
        <f>IFERROR((($C11*st_DL)/st_res!G11),".")</f>
        <v>4.5368859881170627E-2</v>
      </c>
      <c r="I11" s="61">
        <f>IFERROR((($C11*st_DL)/st_res!H11),".")</f>
        <v>4.5368859881170627E-2</v>
      </c>
    </row>
    <row r="12" spans="1:9">
      <c r="A12" s="60" t="s">
        <v>17</v>
      </c>
      <c r="B12" s="88" t="s">
        <v>6</v>
      </c>
      <c r="C12" s="58">
        <v>5</v>
      </c>
      <c r="D12" s="61" t="str">
        <f>IFERROR((($C12*st_DL)/st_res!C12),".")</f>
        <v>.</v>
      </c>
      <c r="E12" s="61" t="str">
        <f>IFERROR((($C12*st_DL)/st_res!D12),".")</f>
        <v>.</v>
      </c>
      <c r="F12" s="61" t="str">
        <f>IFERROR((($C12*st_DL)/st_res!E12),".")</f>
        <v>.</v>
      </c>
      <c r="G12" s="61">
        <f>IFERROR((($C12*st_DL)/st_res!F12),".")</f>
        <v>0.24433782356985778</v>
      </c>
      <c r="H12" s="61">
        <f>IFERROR((($C12*st_DL)/st_res!G12),".")</f>
        <v>0.24433782356985778</v>
      </c>
      <c r="I12" s="61">
        <f>IFERROR((($C12*st_DL)/st_res!H12),".")</f>
        <v>0.24433782356985778</v>
      </c>
    </row>
    <row r="13" spans="1:9">
      <c r="A13" s="60" t="s">
        <v>18</v>
      </c>
      <c r="B13" s="88" t="s">
        <v>6</v>
      </c>
      <c r="C13" s="58">
        <v>5</v>
      </c>
      <c r="D13" s="61">
        <f>IFERROR((($C13*st_DL)/st_res!C13),".")</f>
        <v>75.820524711369842</v>
      </c>
      <c r="E13" s="61">
        <f>IFERROR((($C13*st_DL)/st_res!D13),".")</f>
        <v>12317.504667349189</v>
      </c>
      <c r="F13" s="61">
        <f>IFERROR((($C13*st_DL)/st_res!E13),".")</f>
        <v>133.29397823154494</v>
      </c>
      <c r="G13" s="61">
        <f>IFERROR((($C13*st_DL)/st_res!F13),".")</f>
        <v>4.3910059688003836E-2</v>
      </c>
      <c r="H13" s="61">
        <f>IFERROR((($C13*st_DL)/st_res!G13),".")</f>
        <v>209.15841300260283</v>
      </c>
      <c r="I13" s="61">
        <f>IFERROR((($C13*st_DL)/st_res!H13),".")</f>
        <v>12393.369102120247</v>
      </c>
    </row>
    <row r="14" spans="1:9">
      <c r="A14" s="60" t="s">
        <v>19</v>
      </c>
      <c r="B14" s="88" t="s">
        <v>6</v>
      </c>
      <c r="C14" s="58">
        <v>5</v>
      </c>
      <c r="D14" s="61">
        <f>IFERROR((($C14*st_DL)/st_res!C14),".")</f>
        <v>0.80066474095206563</v>
      </c>
      <c r="E14" s="61">
        <f>IFERROR((($C14*st_DL)/st_res!D14),".")</f>
        <v>4.457763593897802</v>
      </c>
      <c r="F14" s="61">
        <f>IFERROR((($C14*st_DL)/st_res!E14),".")</f>
        <v>4.8239725455225785E-2</v>
      </c>
      <c r="G14" s="61">
        <f>IFERROR((($C14*st_DL)/st_res!F14),".")</f>
        <v>0.34234191848111811</v>
      </c>
      <c r="H14" s="61">
        <f>IFERROR((($C14*st_DL)/st_res!G14),".")</f>
        <v>1.1912463848884096</v>
      </c>
      <c r="I14" s="61">
        <f>IFERROR((($C14*st_DL)/st_res!H14),".")</f>
        <v>5.6007702533309853</v>
      </c>
    </row>
    <row r="15" spans="1:9">
      <c r="A15" s="60" t="s">
        <v>20</v>
      </c>
      <c r="B15" s="88" t="s">
        <v>6</v>
      </c>
      <c r="C15" s="58">
        <v>5</v>
      </c>
      <c r="D15" s="61">
        <f>IFERROR((($C15*st_DL)/st_res!C15),".")</f>
        <v>4.5310345567514614E-2</v>
      </c>
      <c r="E15" s="61">
        <f>IFERROR((($C15*st_DL)/st_res!D15),".")</f>
        <v>6.8235065538172476E-2</v>
      </c>
      <c r="F15" s="61">
        <f>IFERROR((($C15*st_DL)/st_res!E15),".")</f>
        <v>7.3840632385411382E-4</v>
      </c>
      <c r="G15" s="61">
        <f>IFERROR((($C15*st_DL)/st_res!F15),".")</f>
        <v>5.220449450278824E-3</v>
      </c>
      <c r="H15" s="61">
        <f>IFERROR((($C15*st_DL)/st_res!G15),".")</f>
        <v>5.1269201341647544E-2</v>
      </c>
      <c r="I15" s="61">
        <f>IFERROR((($C15*st_DL)/st_res!H15),".")</f>
        <v>0.11876586055596591</v>
      </c>
    </row>
    <row r="16" spans="1:9">
      <c r="A16" s="62" t="s">
        <v>21</v>
      </c>
      <c r="B16" s="88" t="s">
        <v>6</v>
      </c>
      <c r="C16" s="58">
        <v>5</v>
      </c>
      <c r="D16" s="61">
        <f>IFERROR((($C16*st_DL)/st_res!C16),".")</f>
        <v>618.69548164477794</v>
      </c>
      <c r="E16" s="61">
        <f>IFERROR((($C16*st_DL)/st_res!D16),".")</f>
        <v>5894.8058050885402</v>
      </c>
      <c r="F16" s="61">
        <f>IFERROR((($C16*st_DL)/st_res!E16),".")</f>
        <v>63.790689582239366</v>
      </c>
      <c r="G16" s="61">
        <f>IFERROR((($C16*st_DL)/st_res!F16),".")</f>
        <v>3.9457942553483265E-3</v>
      </c>
      <c r="H16" s="61">
        <f>IFERROR((($C16*st_DL)/st_res!G16),".")</f>
        <v>682.49011702127268</v>
      </c>
      <c r="I16" s="61">
        <f>IFERROR((($C16*st_DL)/st_res!H16),".")</f>
        <v>6513.5052325275738</v>
      </c>
    </row>
    <row r="17" spans="1:9">
      <c r="A17" s="60" t="s">
        <v>22</v>
      </c>
      <c r="B17" s="88" t="s">
        <v>6</v>
      </c>
      <c r="C17" s="58">
        <v>5</v>
      </c>
      <c r="D17" s="61">
        <f>IFERROR((($C17*st_DL)/st_res!C17),".")</f>
        <v>0.1207062753405008</v>
      </c>
      <c r="E17" s="61">
        <f>IFERROR((($C17*st_DL)/st_res!D17),".")</f>
        <v>12.312220452562682</v>
      </c>
      <c r="F17" s="61">
        <f>IFERROR((($C17*st_DL)/st_res!E17),".")</f>
        <v>0.13323679505770042</v>
      </c>
      <c r="G17" s="61">
        <f>IFERROR((($C17*st_DL)/st_res!F17),".")</f>
        <v>0.39841530225746341</v>
      </c>
      <c r="H17" s="61">
        <f>IFERROR((($C17*st_DL)/st_res!G17),".")</f>
        <v>0.65235837265566454</v>
      </c>
      <c r="I17" s="61">
        <f>IFERROR((($C17*st_DL)/st_res!H17),".")</f>
        <v>12.831342030160647</v>
      </c>
    </row>
    <row r="18" spans="1:9">
      <c r="A18" s="60" t="s">
        <v>23</v>
      </c>
      <c r="B18" s="88" t="s">
        <v>6</v>
      </c>
      <c r="C18" s="58">
        <v>5</v>
      </c>
      <c r="D18" s="61">
        <f>IFERROR((($C18*st_DL)/st_res!C18),".")</f>
        <v>1061.4873459591777</v>
      </c>
      <c r="E18" s="61">
        <f>IFERROR((($C18*st_DL)/st_res!D18),".")</f>
        <v>4575.07316215827</v>
      </c>
      <c r="F18" s="61">
        <f>IFERROR((($C18*st_DL)/st_res!E18),".")</f>
        <v>49.509191914573833</v>
      </c>
      <c r="G18" s="61">
        <f>IFERROR((($C18*st_DL)/st_res!F18),".")</f>
        <v>1.4776002482107336E-5</v>
      </c>
      <c r="H18" s="61">
        <f>IFERROR((($C18*st_DL)/st_res!G18),".")</f>
        <v>1110.996552649754</v>
      </c>
      <c r="I18" s="61">
        <f>IFERROR((($C18*st_DL)/st_res!H18),".")</f>
        <v>5636.560522893451</v>
      </c>
    </row>
    <row r="19" spans="1:9">
      <c r="A19" s="60" t="s">
        <v>24</v>
      </c>
      <c r="B19" s="88" t="s">
        <v>6</v>
      </c>
      <c r="C19" s="58">
        <v>5</v>
      </c>
      <c r="D19" s="61" t="str">
        <f>IFERROR((($C19*st_DL)/st_res!C19),".")</f>
        <v>.</v>
      </c>
      <c r="E19" s="61" t="str">
        <f>IFERROR((($C19*st_DL)/st_res!D19),".")</f>
        <v>.</v>
      </c>
      <c r="F19" s="61" t="str">
        <f>IFERROR((($C19*st_DL)/st_res!E19),".")</f>
        <v>.</v>
      </c>
      <c r="G19" s="61">
        <f>IFERROR((($C19*st_DL)/st_res!F19),".")</f>
        <v>5.7119248718251947E-5</v>
      </c>
      <c r="H19" s="61">
        <f>IFERROR((($C19*st_DL)/st_res!G19),".")</f>
        <v>5.7119248718251953E-5</v>
      </c>
      <c r="I19" s="61">
        <f>IFERROR((($C19*st_DL)/st_res!H19),".")</f>
        <v>5.7119248718251953E-5</v>
      </c>
    </row>
    <row r="20" spans="1:9">
      <c r="A20" s="60" t="s">
        <v>25</v>
      </c>
      <c r="B20" s="88" t="s">
        <v>6</v>
      </c>
      <c r="C20" s="58">
        <v>5</v>
      </c>
      <c r="D20" s="61" t="str">
        <f>IFERROR((($C20*st_DL)/st_res!C20),".")</f>
        <v>.</v>
      </c>
      <c r="E20" s="61" t="str">
        <f>IFERROR((($C20*st_DL)/st_res!D20),".")</f>
        <v>.</v>
      </c>
      <c r="F20" s="61" t="str">
        <f>IFERROR((($C20*st_DL)/st_res!E20),".")</f>
        <v>.</v>
      </c>
      <c r="G20" s="61">
        <f>IFERROR((($C20*st_DL)/st_res!F20),".")</f>
        <v>1.2581749281907693E-4</v>
      </c>
      <c r="H20" s="61">
        <f>IFERROR((($C20*st_DL)/st_res!G20),".")</f>
        <v>1.2581749281907693E-4</v>
      </c>
      <c r="I20" s="61">
        <f>IFERROR((($C20*st_DL)/st_res!H20),".")</f>
        <v>1.2581749281907693E-4</v>
      </c>
    </row>
    <row r="21" spans="1:9">
      <c r="A21" s="60" t="s">
        <v>26</v>
      </c>
      <c r="B21" s="88" t="s">
        <v>6</v>
      </c>
      <c r="C21" s="58">
        <v>5</v>
      </c>
      <c r="D21" s="61" t="str">
        <f>IFERROR((($C21*st_DL)/st_res!C21),".")</f>
        <v>.</v>
      </c>
      <c r="E21" s="61">
        <f>IFERROR((($C21*st_DL)/st_res!D21),".")</f>
        <v>2.013285833659392</v>
      </c>
      <c r="F21" s="61">
        <f>IFERROR((($C21*st_DL)/st_res!E21),".")</f>
        <v>2.1786789234757024E-2</v>
      </c>
      <c r="G21" s="61">
        <f>IFERROR((($C21*st_DL)/st_res!F21),".")</f>
        <v>1.0882755123621999E-8</v>
      </c>
      <c r="H21" s="61">
        <f>IFERROR((($C21*st_DL)/st_res!G21),".")</f>
        <v>2.1786800117512148E-2</v>
      </c>
      <c r="I21" s="61">
        <f>IFERROR((($C21*st_DL)/st_res!H21),".")</f>
        <v>2.0132858445421471</v>
      </c>
    </row>
    <row r="22" spans="1:9">
      <c r="A22" s="60" t="s">
        <v>27</v>
      </c>
      <c r="B22" s="88" t="s">
        <v>6</v>
      </c>
      <c r="C22" s="58">
        <v>5</v>
      </c>
      <c r="D22" s="61">
        <f>IFERROR((($C22*st_DL)/st_res!C22),".")</f>
        <v>144.36227905044819</v>
      </c>
      <c r="E22" s="61">
        <f>IFERROR((($C22*st_DL)/st_res!D22),".")</f>
        <v>8221.4455755878316</v>
      </c>
      <c r="F22" s="61">
        <f>IFERROR((($C22*st_DL)/st_res!E22),".")</f>
        <v>88.968441025975594</v>
      </c>
      <c r="G22" s="61">
        <f>IFERROR((($C22*st_DL)/st_res!F22),".")</f>
        <v>1.9751352771239135E-2</v>
      </c>
      <c r="H22" s="61">
        <f>IFERROR((($C22*st_DL)/st_res!G22),".")</f>
        <v>233.35047142919501</v>
      </c>
      <c r="I22" s="61">
        <f>IFERROR((($C22*st_DL)/st_res!H22),".")</f>
        <v>8365.8276059910513</v>
      </c>
    </row>
    <row r="23" spans="1:9">
      <c r="A23" s="62" t="s">
        <v>28</v>
      </c>
      <c r="B23" s="88" t="s">
        <v>8</v>
      </c>
      <c r="C23" s="58">
        <v>5</v>
      </c>
      <c r="D23" s="61">
        <f>IFERROR((($C23*st_DL)/st_res!C23),".")</f>
        <v>274.77358155400429</v>
      </c>
      <c r="E23" s="61">
        <f>IFERROR((($C23*st_DL)/st_res!D23),".")</f>
        <v>10069.07127569021</v>
      </c>
      <c r="F23" s="61">
        <f>IFERROR((($C23*st_DL)/st_res!E23),".")</f>
        <v>108.96253776070732</v>
      </c>
      <c r="G23" s="61">
        <f>IFERROR((($C23*st_DL)/st_res!F23),".")</f>
        <v>1.1271076844147729E-2</v>
      </c>
      <c r="H23" s="61">
        <f>IFERROR((($C23*st_DL)/st_res!G23),".")</f>
        <v>383.74739039155583</v>
      </c>
      <c r="I23" s="61">
        <f>IFERROR((($C23*st_DL)/st_res!H23),".")</f>
        <v>10343.85612832106</v>
      </c>
    </row>
    <row r="24" spans="1:9">
      <c r="A24" s="60" t="s">
        <v>29</v>
      </c>
      <c r="B24" s="88" t="s">
        <v>6</v>
      </c>
      <c r="C24" s="58">
        <v>5</v>
      </c>
      <c r="D24" s="61" t="str">
        <f>IFERROR((($C24*st_DL)/st_res!C24),".")</f>
        <v>.</v>
      </c>
      <c r="E24" s="61" t="str">
        <f>IFERROR((($C24*st_DL)/st_res!D24),".")</f>
        <v>.</v>
      </c>
      <c r="F24" s="61" t="str">
        <f>IFERROR((($C24*st_DL)/st_res!E24),".")</f>
        <v>.</v>
      </c>
      <c r="G24" s="61">
        <f>IFERROR((($C24*st_DL)/st_res!F24),".")</f>
        <v>1.1664985875345815E-3</v>
      </c>
      <c r="H24" s="61">
        <f>IFERROR((($C24*st_DL)/st_res!G24),".")</f>
        <v>1.1664985875345815E-3</v>
      </c>
      <c r="I24" s="61">
        <f>IFERROR((($C24*st_DL)/st_res!H24),".")</f>
        <v>1.1664985875345815E-3</v>
      </c>
    </row>
    <row r="25" spans="1:9">
      <c r="A25" s="62" t="s">
        <v>30</v>
      </c>
      <c r="B25" s="88" t="s">
        <v>8</v>
      </c>
      <c r="C25" s="58">
        <v>5</v>
      </c>
      <c r="D25" s="61" t="str">
        <f>IFERROR((($C25*st_DL)/st_res!C25),".")</f>
        <v>.</v>
      </c>
      <c r="E25" s="61">
        <f>IFERROR((($C25*st_DL)/st_res!D25),".")</f>
        <v>1.7305803425812354</v>
      </c>
      <c r="F25" s="61">
        <f>IFERROR((($C25*st_DL)/st_res!E25),".")</f>
        <v>1.8727489434075918E-2</v>
      </c>
      <c r="G25" s="61">
        <f>IFERROR((($C25*st_DL)/st_res!F25),".")</f>
        <v>5.9612229393822373E-4</v>
      </c>
      <c r="H25" s="61">
        <f>IFERROR((($C25*st_DL)/st_res!G25),".")</f>
        <v>1.932361172801414E-2</v>
      </c>
      <c r="I25" s="61">
        <f>IFERROR((($C25*st_DL)/st_res!H25),".")</f>
        <v>1.7311764648751737</v>
      </c>
    </row>
    <row r="26" spans="1:9">
      <c r="A26" s="60" t="s">
        <v>31</v>
      </c>
      <c r="B26" s="88" t="s">
        <v>6</v>
      </c>
      <c r="C26" s="58">
        <v>5</v>
      </c>
      <c r="D26" s="61">
        <f>IFERROR((($C26*st_DL)/st_res!C26),".")</f>
        <v>369.397596393794</v>
      </c>
      <c r="E26" s="61">
        <f>IFERROR((($C26*st_DL)/st_res!D26),".")</f>
        <v>73807.270030544736</v>
      </c>
      <c r="F26" s="61">
        <f>IFERROR((($C26*st_DL)/st_res!E26),".")</f>
        <v>798.70598067314597</v>
      </c>
      <c r="G26" s="61">
        <f>IFERROR((($C26*st_DL)/st_res!F26),".")</f>
        <v>0.13745239329070541</v>
      </c>
      <c r="H26" s="61">
        <f>IFERROR((($C26*st_DL)/st_res!G26),".")</f>
        <v>1168.2410294602309</v>
      </c>
      <c r="I26" s="61">
        <f>IFERROR((($C26*st_DL)/st_res!H26),".")</f>
        <v>74176.805079331825</v>
      </c>
    </row>
    <row r="27" spans="1:9">
      <c r="A27" s="60" t="s">
        <v>32</v>
      </c>
      <c r="B27" s="88" t="s">
        <v>6</v>
      </c>
      <c r="C27" s="58">
        <v>5</v>
      </c>
      <c r="D27" s="61" t="str">
        <f>IFERROR((($C27*st_DL)/st_res!C27),".")</f>
        <v>.</v>
      </c>
      <c r="E27" s="61" t="str">
        <f>IFERROR((($C27*st_DL)/st_res!D27),".")</f>
        <v>.</v>
      </c>
      <c r="F27" s="61" t="str">
        <f>IFERROR((($C27*st_DL)/st_res!E27),".")</f>
        <v>.</v>
      </c>
      <c r="G27" s="61">
        <f>IFERROR((($C27*st_DL)/st_res!F27),".")</f>
        <v>0.10483115973936845</v>
      </c>
      <c r="H27" s="61">
        <f>IFERROR((($C27*st_DL)/st_res!G27),".")</f>
        <v>0.10483115973936845</v>
      </c>
      <c r="I27" s="61">
        <f>IFERROR((($C27*st_DL)/st_res!H27),".")</f>
        <v>0.10483115973936845</v>
      </c>
    </row>
    <row r="28" spans="1:9">
      <c r="A28" s="60" t="s">
        <v>33</v>
      </c>
      <c r="B28" s="88" t="s">
        <v>6</v>
      </c>
      <c r="C28" s="58">
        <v>5</v>
      </c>
      <c r="D28" s="61" t="str">
        <f>IFERROR((($C28*st_DL)/st_res!C28),".")</f>
        <v>.</v>
      </c>
      <c r="E28" s="61" t="str">
        <f>IFERROR((($C28*st_DL)/st_res!D28),".")</f>
        <v>.</v>
      </c>
      <c r="F28" s="61" t="str">
        <f>IFERROR((($C28*st_DL)/st_res!E28),".")</f>
        <v>.</v>
      </c>
      <c r="G28" s="61">
        <f>IFERROR((($C28*st_DL)/st_res!F28),".")</f>
        <v>3.1873517978420223</v>
      </c>
      <c r="H28" s="61">
        <f>IFERROR((($C28*st_DL)/st_res!G28),".")</f>
        <v>3.1873517978420223</v>
      </c>
      <c r="I28" s="61">
        <f>IFERROR((($C28*st_DL)/st_res!H28),".")</f>
        <v>3.1873517978420223</v>
      </c>
    </row>
    <row r="29" spans="1:9">
      <c r="A29" s="60" t="s">
        <v>34</v>
      </c>
      <c r="B29" s="88" t="s">
        <v>6</v>
      </c>
      <c r="C29" s="58">
        <v>5</v>
      </c>
      <c r="D29" s="61" t="str">
        <f>IFERROR((($C29*st_DL)/st_res!C29),".")</f>
        <v>.</v>
      </c>
      <c r="E29" s="61" t="str">
        <f>IFERROR((($C29*st_DL)/st_res!D29),".")</f>
        <v>.</v>
      </c>
      <c r="F29" s="61" t="str">
        <f>IFERROR((($C29*st_DL)/st_res!E29),".")</f>
        <v>.</v>
      </c>
      <c r="G29" s="61">
        <f>IFERROR((($C29*st_DL)/st_res!F29),".")</f>
        <v>4.1908369971222088</v>
      </c>
      <c r="H29" s="61">
        <f>IFERROR((($C29*st_DL)/st_res!G29),".")</f>
        <v>4.1908369971222088</v>
      </c>
      <c r="I29" s="61">
        <f>IFERROR((($C29*st_DL)/st_res!H29),".")</f>
        <v>4.1908369971222088</v>
      </c>
    </row>
    <row r="30" spans="1:9">
      <c r="A30" s="60" t="s">
        <v>35</v>
      </c>
      <c r="B30" s="88" t="s">
        <v>6</v>
      </c>
      <c r="C30" s="58">
        <v>5</v>
      </c>
      <c r="D30" s="61">
        <f>IFERROR((($C30*st_DL)/st_res!C30),".")</f>
        <v>36.515164700995712</v>
      </c>
      <c r="E30" s="61">
        <f>IFERROR((($C30*st_DL)/st_res!D30),".")</f>
        <v>10069.07127569021</v>
      </c>
      <c r="F30" s="61">
        <f>IFERROR((($C30*st_DL)/st_res!E30),".")</f>
        <v>108.96253776070732</v>
      </c>
      <c r="G30" s="61">
        <f>IFERROR((($C30*st_DL)/st_res!F30),".")</f>
        <v>8.6552906246350418E-4</v>
      </c>
      <c r="H30" s="61">
        <f>IFERROR((($C30*st_DL)/st_res!G30),".")</f>
        <v>145.4785679907655</v>
      </c>
      <c r="I30" s="61">
        <f>IFERROR((($C30*st_DL)/st_res!H30),".")</f>
        <v>10105.587305920268</v>
      </c>
    </row>
    <row r="31" spans="1:9">
      <c r="A31" s="63" t="s">
        <v>7</v>
      </c>
      <c r="B31" s="82" t="s">
        <v>6</v>
      </c>
      <c r="C31" s="66">
        <v>5</v>
      </c>
      <c r="D31" s="64">
        <f>SUM(D32:D44)</f>
        <v>803.18966079344784</v>
      </c>
      <c r="E31" s="64">
        <f t="shared" ref="E31:I31" si="0">SUM(E32:E44)</f>
        <v>209329.2714806227</v>
      </c>
      <c r="F31" s="64">
        <f t="shared" si="0"/>
        <v>2265.2584358198624</v>
      </c>
      <c r="G31" s="64">
        <f t="shared" si="0"/>
        <v>0.9890281325021546</v>
      </c>
      <c r="H31" s="64">
        <f t="shared" si="0"/>
        <v>3069.437124745813</v>
      </c>
      <c r="I31" s="64">
        <f t="shared" si="0"/>
        <v>210133.45016954865</v>
      </c>
    </row>
    <row r="32" spans="1:9">
      <c r="A32" s="65" t="s">
        <v>390</v>
      </c>
      <c r="B32" s="89">
        <v>1</v>
      </c>
      <c r="C32" s="58">
        <v>5</v>
      </c>
      <c r="D32" s="61">
        <f>IFERROR((($C32*st_DL)/st_res!C32),0)</f>
        <v>144.36227905044819</v>
      </c>
      <c r="E32" s="61">
        <f>IFERROR((($C32*st_DL)/st_res!D32),0)</f>
        <v>95900.57205293297</v>
      </c>
      <c r="F32" s="61">
        <f>IFERROR((($C32*st_DL)/st_res!E32),0)</f>
        <v>1037.7888305170284</v>
      </c>
      <c r="G32" s="61">
        <f>IFERROR((($C32*st_DL)/st_res!F32),0)</f>
        <v>3.9077510058360271E-2</v>
      </c>
      <c r="H32" s="61">
        <f>IFERROR((($C32*st_DL)/st_res!G32),0)</f>
        <v>1182.190187077535</v>
      </c>
      <c r="I32" s="61">
        <f>IFERROR((($C32*st_DL)/st_res!H32),0)</f>
        <v>96044.973409493483</v>
      </c>
    </row>
    <row r="33" spans="1:9">
      <c r="A33" s="65" t="s">
        <v>391</v>
      </c>
      <c r="B33" s="89">
        <v>1</v>
      </c>
      <c r="C33" s="58">
        <v>5</v>
      </c>
      <c r="D33" s="61">
        <f>IFERROR((($C33*st_DL)/st_res!C33),0)</f>
        <v>75.820524711369842</v>
      </c>
      <c r="E33" s="61">
        <f>IFERROR((($C33*st_DL)/st_res!D33),0)</f>
        <v>12317.504667349189</v>
      </c>
      <c r="F33" s="61">
        <f>IFERROR((($C33*st_DL)/st_res!E33),0)</f>
        <v>133.29397823154494</v>
      </c>
      <c r="G33" s="61">
        <f>IFERROR((($C33*st_DL)/st_res!F33),0)</f>
        <v>4.3910059688003836E-2</v>
      </c>
      <c r="H33" s="61">
        <f>IFERROR((($C33*st_DL)/st_res!G33),0)</f>
        <v>209.15841300260283</v>
      </c>
      <c r="I33" s="61">
        <f>IFERROR((($C33*st_DL)/st_res!H33),0)</f>
        <v>12393.369102120247</v>
      </c>
    </row>
    <row r="34" spans="1:9">
      <c r="A34" s="65" t="s">
        <v>392</v>
      </c>
      <c r="B34" s="89">
        <v>1</v>
      </c>
      <c r="C34" s="58">
        <v>5</v>
      </c>
      <c r="D34" s="61">
        <f>IFERROR((($C34*st_DL)/st_res!C34),0)</f>
        <v>0.80066474095206563</v>
      </c>
      <c r="E34" s="61">
        <f>IFERROR((($C34*st_DL)/st_res!D34),0)</f>
        <v>4.457763593897802</v>
      </c>
      <c r="F34" s="61">
        <f>IFERROR((($C34*st_DL)/st_res!E34),0)</f>
        <v>4.8239725455225785E-2</v>
      </c>
      <c r="G34" s="61">
        <f>IFERROR((($C34*st_DL)/st_res!F34),0)</f>
        <v>0.34234191848111811</v>
      </c>
      <c r="H34" s="61">
        <f>IFERROR((($C34*st_DL)/st_res!G34),0)</f>
        <v>1.1912463848884096</v>
      </c>
      <c r="I34" s="61">
        <f>IFERROR((($C34*st_DL)/st_res!H34),0)</f>
        <v>5.6007702533309853</v>
      </c>
    </row>
    <row r="35" spans="1:9">
      <c r="A35" s="65" t="s">
        <v>393</v>
      </c>
      <c r="B35" s="89">
        <v>1</v>
      </c>
      <c r="C35" s="58">
        <v>5</v>
      </c>
      <c r="D35" s="61">
        <f>IFERROR((($C35*st_DL)/st_res!C35),0)</f>
        <v>36.515164700995712</v>
      </c>
      <c r="E35" s="61">
        <f>IFERROR((($C35*st_DL)/st_res!D35),0)</f>
        <v>10069.07127569021</v>
      </c>
      <c r="F35" s="61">
        <f>IFERROR((($C35*st_DL)/st_res!E35),0)</f>
        <v>108.96253776070732</v>
      </c>
      <c r="G35" s="61">
        <f>IFERROR((($C35*st_DL)/st_res!F35),0)</f>
        <v>8.6552906246350418E-4</v>
      </c>
      <c r="H35" s="61">
        <f>IFERROR((($C35*st_DL)/st_res!G35),0)</f>
        <v>145.4785679907655</v>
      </c>
      <c r="I35" s="61">
        <f>IFERROR((($C35*st_DL)/st_res!H35),0)</f>
        <v>10105.587305920268</v>
      </c>
    </row>
    <row r="36" spans="1:9">
      <c r="A36" s="65" t="s">
        <v>394</v>
      </c>
      <c r="B36" s="89">
        <v>1</v>
      </c>
      <c r="C36" s="58">
        <v>5</v>
      </c>
      <c r="D36" s="61">
        <f>IFERROR((($C36*st_DL)/st_res!C36),0)</f>
        <v>369.397596393794</v>
      </c>
      <c r="E36" s="61">
        <f>IFERROR((($C36*st_DL)/st_res!D36),0)</f>
        <v>73807.270030544736</v>
      </c>
      <c r="F36" s="61">
        <f>IFERROR((($C36*st_DL)/st_res!E36),0)</f>
        <v>798.70598067314597</v>
      </c>
      <c r="G36" s="61">
        <f>IFERROR((($C36*st_DL)/st_res!F36),0)</f>
        <v>0.13745239329070541</v>
      </c>
      <c r="H36" s="61">
        <f>IFERROR((($C36*st_DL)/st_res!G36),0)</f>
        <v>1168.2410294602309</v>
      </c>
      <c r="I36" s="61">
        <f>IFERROR((($C36*st_DL)/st_res!H36),0)</f>
        <v>74176.805079331825</v>
      </c>
    </row>
    <row r="37" spans="1:9">
      <c r="A37" s="65" t="s">
        <v>395</v>
      </c>
      <c r="B37" s="89">
        <v>1</v>
      </c>
      <c r="C37" s="58">
        <v>5</v>
      </c>
      <c r="D37" s="61">
        <f>IFERROR((($C37*st_DL)/st_res!C37),0)</f>
        <v>144.36227905044819</v>
      </c>
      <c r="E37" s="61">
        <f>IFERROR((($C37*st_DL)/st_res!D37),0)</f>
        <v>8221.4455755878316</v>
      </c>
      <c r="F37" s="61">
        <f>IFERROR((($C37*st_DL)/st_res!E37),0)</f>
        <v>88.968441025975594</v>
      </c>
      <c r="G37" s="61">
        <f>IFERROR((($C37*st_DL)/st_res!F37),0)</f>
        <v>1.9751352771239135E-2</v>
      </c>
      <c r="H37" s="61">
        <f>IFERROR((($C37*st_DL)/st_res!G37),0)</f>
        <v>233.35047142919501</v>
      </c>
      <c r="I37" s="61">
        <f>IFERROR((($C37*st_DL)/st_res!H37),0)</f>
        <v>8365.8276059910513</v>
      </c>
    </row>
    <row r="38" spans="1:9">
      <c r="A38" s="65" t="s">
        <v>396</v>
      </c>
      <c r="B38" s="89">
        <v>1</v>
      </c>
      <c r="C38" s="58">
        <v>5</v>
      </c>
      <c r="D38" s="61">
        <f>IFERROR((($C38*st_DL)/st_res!C38),0)</f>
        <v>31.723307539237144</v>
      </c>
      <c r="E38" s="61">
        <f>IFERROR((($C38*st_DL)/st_res!D38),0)</f>
        <v>8974.1819719258383</v>
      </c>
      <c r="F38" s="61">
        <f>IFERROR((($C38*st_DL)/st_res!E38),0)</f>
        <v>97.114184140125587</v>
      </c>
      <c r="G38" s="61">
        <f>IFERROR((($C38*st_DL)/st_res!F38),0)</f>
        <v>2.3549853592129029E-2</v>
      </c>
      <c r="H38" s="61">
        <f>IFERROR((($C38*st_DL)/st_res!G38),0)</f>
        <v>128.86104153295486</v>
      </c>
      <c r="I38" s="61">
        <f>IFERROR((($C38*st_DL)/st_res!H38),0)</f>
        <v>9005.9288293186673</v>
      </c>
    </row>
    <row r="39" spans="1:9">
      <c r="A39" s="65" t="s">
        <v>397</v>
      </c>
      <c r="B39" s="89">
        <v>1</v>
      </c>
      <c r="C39" s="58">
        <v>5</v>
      </c>
      <c r="D39" s="61">
        <f>IFERROR((($C39*st_DL)/st_res!C39),0)</f>
        <v>0</v>
      </c>
      <c r="E39" s="61">
        <f>IFERROR((($C39*st_DL)/st_res!D39),0)</f>
        <v>0</v>
      </c>
      <c r="F39" s="61">
        <f>IFERROR((($C39*st_DL)/st_res!E39),0)</f>
        <v>0</v>
      </c>
      <c r="G39" s="61">
        <f>IFERROR((($C39*st_DL)/st_res!F39),0)</f>
        <v>4.5368859881170627E-2</v>
      </c>
      <c r="H39" s="61">
        <f>IFERROR((($C39*st_DL)/st_res!G39),0)</f>
        <v>4.5368859881170627E-2</v>
      </c>
      <c r="I39" s="61">
        <f>IFERROR((($C39*st_DL)/st_res!H39),0)</f>
        <v>4.5368859881170627E-2</v>
      </c>
    </row>
    <row r="40" spans="1:9">
      <c r="A40" s="65" t="s">
        <v>398</v>
      </c>
      <c r="B40" s="89">
        <v>1</v>
      </c>
      <c r="C40" s="58">
        <v>5</v>
      </c>
      <c r="D40" s="61">
        <f>IFERROR((($C40*st_DL)/st_res!C40),0)</f>
        <v>0</v>
      </c>
      <c r="E40" s="61">
        <f>IFERROR((($C40*st_DL)/st_res!D40),0)</f>
        <v>0</v>
      </c>
      <c r="F40" s="61">
        <f>IFERROR((($C40*st_DL)/st_res!E40),0)</f>
        <v>0</v>
      </c>
      <c r="G40" s="61">
        <f>IFERROR((($C40*st_DL)/st_res!F40),0)</f>
        <v>3.7734824864736697E-4</v>
      </c>
      <c r="H40" s="61">
        <f>IFERROR((($C40*st_DL)/st_res!G40),0)</f>
        <v>3.7734824864736697E-4</v>
      </c>
      <c r="I40" s="61">
        <f>IFERROR((($C40*st_DL)/st_res!H40),0)</f>
        <v>3.7734824864736697E-4</v>
      </c>
    </row>
    <row r="41" spans="1:9">
      <c r="A41" s="65" t="s">
        <v>399</v>
      </c>
      <c r="B41" s="90">
        <v>0.99987999999999999</v>
      </c>
      <c r="C41" s="58">
        <v>5</v>
      </c>
      <c r="D41" s="61">
        <f>IFERROR((($C41*st_DL)/st_res!C41),0)</f>
        <v>0.16253969787657918</v>
      </c>
      <c r="E41" s="61">
        <f>IFERROR((($C41*st_DL)/st_res!D41),0)</f>
        <v>34.699916120715336</v>
      </c>
      <c r="F41" s="61">
        <f>IFERROR((($C41*st_DL)/st_res!E41),0)</f>
        <v>0.37550542816449023</v>
      </c>
      <c r="G41" s="61">
        <f>IFERROR((($C41*st_DL)/st_res!F41),0)</f>
        <v>0.26444990699001786</v>
      </c>
      <c r="H41" s="61">
        <f>IFERROR((($C41*st_DL)/st_res!G41),0)</f>
        <v>0.80249503303108716</v>
      </c>
      <c r="I41" s="61">
        <f>IFERROR((($C41*st_DL)/st_res!H41),0)</f>
        <v>35.126905725581928</v>
      </c>
    </row>
    <row r="42" spans="1:9">
      <c r="A42" s="65" t="s">
        <v>400</v>
      </c>
      <c r="B42" s="89">
        <v>0.97898250799999997</v>
      </c>
      <c r="C42" s="58">
        <v>5</v>
      </c>
      <c r="D42" s="61">
        <f>IFERROR((($C42*st_DL)/st_res!C42),0)</f>
        <v>0</v>
      </c>
      <c r="E42" s="61">
        <f>IFERROR((($C42*st_DL)/st_res!D42),0)</f>
        <v>0</v>
      </c>
      <c r="F42" s="61">
        <f>IFERROR((($C42*st_DL)/st_res!E42),0)</f>
        <v>0</v>
      </c>
      <c r="G42" s="61">
        <f>IFERROR((($C42*st_DL)/st_res!F42),0)</f>
        <v>5.5918745365270077E-5</v>
      </c>
      <c r="H42" s="61">
        <f>IFERROR((($C42*st_DL)/st_res!G42),0)</f>
        <v>5.5918745365270084E-5</v>
      </c>
      <c r="I42" s="61">
        <f>IFERROR((($C42*st_DL)/st_res!H42),0)</f>
        <v>5.5918745365270084E-5</v>
      </c>
    </row>
    <row r="43" spans="1:9">
      <c r="A43" s="65" t="s">
        <v>401</v>
      </c>
      <c r="B43" s="89">
        <v>2.0897492E-2</v>
      </c>
      <c r="C43" s="58">
        <v>5</v>
      </c>
      <c r="D43" s="61">
        <f>IFERROR((($C43*st_DL)/st_res!C43),0)</f>
        <v>0</v>
      </c>
      <c r="E43" s="61">
        <f>IFERROR((($C43*st_DL)/st_res!D43),0)</f>
        <v>0</v>
      </c>
      <c r="F43" s="61">
        <f>IFERROR((($C43*st_DL)/st_res!E43),0)</f>
        <v>0</v>
      </c>
      <c r="G43" s="61">
        <f>IFERROR((($C43*st_DL)/st_res!F43),0)</f>
        <v>6.6607658696589286E-2</v>
      </c>
      <c r="H43" s="61">
        <f>IFERROR((($C43*st_DL)/st_res!G43),0)</f>
        <v>6.6607658696589286E-2</v>
      </c>
      <c r="I43" s="61">
        <f>IFERROR((($C43*st_DL)/st_res!H43),0)</f>
        <v>6.6607658696589286E-2</v>
      </c>
    </row>
    <row r="44" spans="1:9">
      <c r="A44" s="65" t="s">
        <v>402</v>
      </c>
      <c r="B44" s="89">
        <v>0.99987999999999999</v>
      </c>
      <c r="C44" s="58">
        <v>5</v>
      </c>
      <c r="D44" s="61">
        <f>IFERROR((($C44*st_DL)/st_res!C44),0)</f>
        <v>4.5304908326046507E-2</v>
      </c>
      <c r="E44" s="61">
        <f>IFERROR((($C44*st_DL)/st_res!D44),0)</f>
        <v>6.8226877330307897E-2</v>
      </c>
      <c r="F44" s="61">
        <f>IFERROR((($C44*st_DL)/st_res!E44),0)</f>
        <v>7.3831771509525119E-4</v>
      </c>
      <c r="G44" s="61">
        <f>IFERROR((($C44*st_DL)/st_res!F44),0)</f>
        <v>5.2198229963447904E-3</v>
      </c>
      <c r="H44" s="61">
        <f>IFERROR((($C44*st_DL)/st_res!G44),0)</f>
        <v>5.1263049037486547E-2</v>
      </c>
      <c r="I44" s="61">
        <f>IFERROR((($C44*st_DL)/st_res!H44),0)</f>
        <v>0.11875160865269918</v>
      </c>
    </row>
    <row r="45" spans="1:9">
      <c r="A45" s="63" t="s">
        <v>15</v>
      </c>
      <c r="B45" s="82" t="s">
        <v>6</v>
      </c>
      <c r="C45" s="66">
        <v>5</v>
      </c>
      <c r="D45" s="64">
        <f>SUM(D46:D47)</f>
        <v>8.0673038292897523</v>
      </c>
      <c r="E45" s="64">
        <f t="shared" ref="E45:I45" si="1">SUM(E46:E47)</f>
        <v>40.765074970512799</v>
      </c>
      <c r="F45" s="64">
        <f t="shared" si="1"/>
        <v>0.44113959462344632</v>
      </c>
      <c r="G45" s="64">
        <f t="shared" si="1"/>
        <v>0.8830211858534025</v>
      </c>
      <c r="H45" s="64">
        <f t="shared" si="1"/>
        <v>9.3914646097666008</v>
      </c>
      <c r="I45" s="64">
        <f t="shared" si="1"/>
        <v>49.715399985655957</v>
      </c>
    </row>
    <row r="46" spans="1:9">
      <c r="A46" s="65" t="s">
        <v>403</v>
      </c>
      <c r="B46" s="89">
        <v>1</v>
      </c>
      <c r="C46" s="58">
        <v>5</v>
      </c>
      <c r="D46" s="61">
        <f>IFERROR((($C46*st_DL)/st_res!C46),0)</f>
        <v>8.0673038292897523</v>
      </c>
      <c r="E46" s="61">
        <f>IFERROR((($C46*st_DL)/st_res!D46),0)</f>
        <v>40.765074970512799</v>
      </c>
      <c r="F46" s="61">
        <f>IFERROR((($C46*st_DL)/st_res!E46),0)</f>
        <v>0.44113959462344632</v>
      </c>
      <c r="G46" s="61">
        <f>IFERROR((($C46*st_DL)/st_res!F46),0)</f>
        <v>5.1519299794153149E-3</v>
      </c>
      <c r="H46" s="61">
        <f>IFERROR((($C46*st_DL)/st_res!G46),0)</f>
        <v>8.5135953538926135</v>
      </c>
      <c r="I46" s="61">
        <f>IFERROR((($C46*st_DL)/st_res!H46),0)</f>
        <v>48.837530729781967</v>
      </c>
    </row>
    <row r="47" spans="1:9">
      <c r="A47" s="65" t="s">
        <v>404</v>
      </c>
      <c r="B47" s="89">
        <v>0.94399</v>
      </c>
      <c r="C47" s="58">
        <v>5</v>
      </c>
      <c r="D47" s="61">
        <f>IFERROR((($C47*st_DL)/st_res!C47),0)</f>
        <v>0</v>
      </c>
      <c r="E47" s="61">
        <f>IFERROR((($C47*st_DL)/st_res!D47),0)</f>
        <v>0</v>
      </c>
      <c r="F47" s="61">
        <f>IFERROR((($C47*st_DL)/st_res!E47),0)</f>
        <v>0</v>
      </c>
      <c r="G47" s="61">
        <f>IFERROR((($C47*st_DL)/st_res!F47),0)</f>
        <v>0.87786925587398723</v>
      </c>
      <c r="H47" s="61">
        <f>IFERROR((($C47*st_DL)/st_res!G47),0)</f>
        <v>0.87786925587398712</v>
      </c>
      <c r="I47" s="61">
        <f>IFERROR((($C47*st_DL)/st_res!H47),0)</f>
        <v>0.87786925587398712</v>
      </c>
    </row>
    <row r="48" spans="1:9">
      <c r="A48" s="63" t="s">
        <v>28</v>
      </c>
      <c r="B48" s="82" t="s">
        <v>6</v>
      </c>
      <c r="C48" s="66">
        <v>5</v>
      </c>
      <c r="D48" s="64">
        <f>SUM(D49:D62)</f>
        <v>1956.2592848952695</v>
      </c>
      <c r="E48" s="64">
        <f t="shared" ref="E48:I48" si="2">SUM(E49:E62)</f>
        <v>20707.400619630589</v>
      </c>
      <c r="F48" s="64">
        <f t="shared" si="2"/>
        <v>224.08530639663456</v>
      </c>
      <c r="G48" s="64">
        <f t="shared" si="2"/>
        <v>2.7089161945355595</v>
      </c>
      <c r="H48" s="64">
        <f t="shared" si="2"/>
        <v>2183.0535074864397</v>
      </c>
      <c r="I48" s="64">
        <f t="shared" si="2"/>
        <v>22666.368820720396</v>
      </c>
    </row>
    <row r="49" spans="1:9">
      <c r="A49" s="65" t="s">
        <v>405</v>
      </c>
      <c r="B49" s="89">
        <v>1</v>
      </c>
      <c r="C49" s="58">
        <v>5</v>
      </c>
      <c r="D49" s="61">
        <f>IFERROR((($C49*st_DL)/st_res!C49),0)</f>
        <v>274.77358155400429</v>
      </c>
      <c r="E49" s="61">
        <f>IFERROR((($C49*st_DL)/st_res!D49),0)</f>
        <v>10069.07127569021</v>
      </c>
      <c r="F49" s="61">
        <f>IFERROR((($C49*st_DL)/st_res!E49),0)</f>
        <v>108.96253776070732</v>
      </c>
      <c r="G49" s="61">
        <f>IFERROR((($C49*st_DL)/st_res!F49),0)</f>
        <v>1.1271076844147729E-2</v>
      </c>
      <c r="H49" s="61">
        <f>IFERROR((($C49*st_DL)/st_res!G49),0)</f>
        <v>383.74739039155583</v>
      </c>
      <c r="I49" s="61">
        <f>IFERROR((($C49*st_DL)/st_res!H49),0)</f>
        <v>10343.85612832106</v>
      </c>
    </row>
    <row r="50" spans="1:9">
      <c r="A50" s="65" t="s">
        <v>406</v>
      </c>
      <c r="B50" s="89">
        <v>1</v>
      </c>
      <c r="C50" s="58">
        <v>5</v>
      </c>
      <c r="D50" s="61">
        <f>IFERROR((($C50*st_DL)/st_res!C50),0)</f>
        <v>0</v>
      </c>
      <c r="E50" s="61">
        <f>IFERROR((($C50*st_DL)/st_res!D50),0)</f>
        <v>1.7305803425812354</v>
      </c>
      <c r="F50" s="61">
        <f>IFERROR((($C50*st_DL)/st_res!E50),0)</f>
        <v>1.8727489434075918E-2</v>
      </c>
      <c r="G50" s="61">
        <f>IFERROR((($C50*st_DL)/st_res!F50),0)</f>
        <v>5.9612229393822373E-4</v>
      </c>
      <c r="H50" s="61">
        <f>IFERROR((($C50*st_DL)/st_res!G50),0)</f>
        <v>1.932361172801414E-2</v>
      </c>
      <c r="I50" s="61">
        <f>IFERROR((($C50*st_DL)/st_res!H50),0)</f>
        <v>1.7311764648751737</v>
      </c>
    </row>
    <row r="51" spans="1:9">
      <c r="A51" s="65" t="s">
        <v>407</v>
      </c>
      <c r="B51" s="89">
        <v>1</v>
      </c>
      <c r="C51" s="58">
        <v>5</v>
      </c>
      <c r="D51" s="61">
        <f>IFERROR((($C51*st_DL)/st_res!C51),0)</f>
        <v>0</v>
      </c>
      <c r="E51" s="61">
        <f>IFERROR((($C51*st_DL)/st_res!D51),0)</f>
        <v>2.013285833659392</v>
      </c>
      <c r="F51" s="61">
        <f>IFERROR((($C51*st_DL)/st_res!E51),0)</f>
        <v>2.1786789234757024E-2</v>
      </c>
      <c r="G51" s="61">
        <f>IFERROR((($C51*st_DL)/st_res!F51),0)</f>
        <v>1.0882755123621999E-8</v>
      </c>
      <c r="H51" s="61">
        <f>IFERROR((($C51*st_DL)/st_res!G51),0)</f>
        <v>2.1786800117512148E-2</v>
      </c>
      <c r="I51" s="61">
        <f>IFERROR((($C51*st_DL)/st_res!H51),0)</f>
        <v>2.0132858445421471</v>
      </c>
    </row>
    <row r="52" spans="1:9">
      <c r="A52" s="65" t="s">
        <v>408</v>
      </c>
      <c r="B52" s="89">
        <v>0.99980000000000002</v>
      </c>
      <c r="C52" s="58">
        <v>5</v>
      </c>
      <c r="D52" s="61">
        <f>IFERROR((($C52*st_DL)/st_res!C52),0)</f>
        <v>0.1206821340854327</v>
      </c>
      <c r="E52" s="61">
        <f>IFERROR((($C52*st_DL)/st_res!D52),0)</f>
        <v>12.309758008472169</v>
      </c>
      <c r="F52" s="61">
        <f>IFERROR((($C52*st_DL)/st_res!E52),0)</f>
        <v>0.13321014769868889</v>
      </c>
      <c r="G52" s="61">
        <f>IFERROR((($C52*st_DL)/st_res!F52),0)</f>
        <v>0.39833561919701194</v>
      </c>
      <c r="H52" s="61">
        <f>IFERROR((($C52*st_DL)/st_res!G52),0)</f>
        <v>0.65222790098113348</v>
      </c>
      <c r="I52" s="61">
        <f>IFERROR((($C52*st_DL)/st_res!H52),0)</f>
        <v>12.828775761754613</v>
      </c>
    </row>
    <row r="53" spans="1:9">
      <c r="A53" s="65" t="s">
        <v>409</v>
      </c>
      <c r="B53" s="89">
        <v>2.0000000000000001E-4</v>
      </c>
      <c r="C53" s="58">
        <v>5</v>
      </c>
      <c r="D53" s="61">
        <f>IFERROR((($C53*st_DL)/st_res!C53),0)</f>
        <v>0</v>
      </c>
      <c r="E53" s="61">
        <f>IFERROR((($C53*st_DL)/st_res!D53),0)</f>
        <v>0</v>
      </c>
      <c r="F53" s="61">
        <f>IFERROR((($C53*st_DL)/st_res!E53),0)</f>
        <v>0</v>
      </c>
      <c r="G53" s="61">
        <f>IFERROR((($C53*st_DL)/st_res!F53),0)</f>
        <v>4.0912613246699242E-8</v>
      </c>
      <c r="H53" s="61">
        <f>IFERROR((($C53*st_DL)/st_res!G53),0)</f>
        <v>4.0912613246699242E-8</v>
      </c>
      <c r="I53" s="61">
        <f>IFERROR((($C53*st_DL)/st_res!H53),0)</f>
        <v>4.0912613246699242E-8</v>
      </c>
    </row>
    <row r="54" spans="1:9">
      <c r="A54" s="65" t="s">
        <v>410</v>
      </c>
      <c r="B54" s="89">
        <v>0.99999979999999999</v>
      </c>
      <c r="C54" s="58">
        <v>5</v>
      </c>
      <c r="D54" s="61">
        <f>IFERROR((($C54*st_DL)/st_res!C54),0)</f>
        <v>9.0378047380339763E-2</v>
      </c>
      <c r="E54" s="61">
        <f>IFERROR((($C54*st_DL)/st_res!D54),0)</f>
        <v>9.6701111252862741</v>
      </c>
      <c r="F54" s="61">
        <f>IFERROR((($C54*st_DL)/st_res!E54),0)</f>
        <v>0.10464518720640546</v>
      </c>
      <c r="G54" s="61">
        <f>IFERROR((($C54*st_DL)/st_res!F54),0)</f>
        <v>2.2356687493605865</v>
      </c>
      <c r="H54" s="61">
        <f>IFERROR((($C54*st_DL)/st_res!G54),0)</f>
        <v>2.430691983947332</v>
      </c>
      <c r="I54" s="61">
        <f>IFERROR((($C54*st_DL)/st_res!H54),0)</f>
        <v>11.9961579220272</v>
      </c>
    </row>
    <row r="55" spans="1:9">
      <c r="A55" s="65" t="s">
        <v>411</v>
      </c>
      <c r="B55" s="89">
        <v>1.9999999999999999E-7</v>
      </c>
      <c r="C55" s="58">
        <v>5</v>
      </c>
      <c r="D55" s="61">
        <f>IFERROR((($C55*st_DL)/st_res!C55),0)</f>
        <v>0</v>
      </c>
      <c r="E55" s="61">
        <f>IFERROR((($C55*st_DL)/st_res!D55),0)</f>
        <v>0</v>
      </c>
      <c r="F55" s="61">
        <f>IFERROR((($C55*st_DL)/st_res!E55),0)</f>
        <v>0</v>
      </c>
      <c r="G55" s="61">
        <f>IFERROR((($C55*st_DL)/st_res!F55),0)</f>
        <v>2.3329971750691631E-10</v>
      </c>
      <c r="H55" s="61">
        <f>IFERROR((($C55*st_DL)/st_res!G55),0)</f>
        <v>2.3329971750691631E-10</v>
      </c>
      <c r="I55" s="61">
        <f>IFERROR((($C55*st_DL)/st_res!H55),0)</f>
        <v>2.3329971750691631E-10</v>
      </c>
    </row>
    <row r="56" spans="1:9">
      <c r="A56" s="65" t="s">
        <v>412</v>
      </c>
      <c r="B56" s="89">
        <v>0.99979000004200003</v>
      </c>
      <c r="C56" s="58">
        <v>5</v>
      </c>
      <c r="D56" s="61">
        <f>IFERROR((($C56*st_DL)/st_res!C56),0)</f>
        <v>0</v>
      </c>
      <c r="E56" s="61">
        <f>IFERROR((($C56*st_DL)/st_res!D56),0)</f>
        <v>0</v>
      </c>
      <c r="F56" s="61">
        <f>IFERROR((($C56*st_DL)/st_res!E56),0)</f>
        <v>0</v>
      </c>
      <c r="G56" s="61">
        <f>IFERROR((($C56*st_DL)/st_res!F56),0)</f>
        <v>1.2579107115086926E-4</v>
      </c>
      <c r="H56" s="61">
        <f>IFERROR((($C56*st_DL)/st_res!G56),0)</f>
        <v>1.2579107115086926E-4</v>
      </c>
      <c r="I56" s="61">
        <f>IFERROR((($C56*st_DL)/st_res!H56),0)</f>
        <v>1.2579107115086926E-4</v>
      </c>
    </row>
    <row r="57" spans="1:9">
      <c r="A57" s="65" t="s">
        <v>413</v>
      </c>
      <c r="B57" s="89">
        <v>2.0999995799999999E-4</v>
      </c>
      <c r="C57" s="58">
        <v>5</v>
      </c>
      <c r="D57" s="61">
        <f>IFERROR((($C57*st_DL)/st_res!C57),0)</f>
        <v>0</v>
      </c>
      <c r="E57" s="61">
        <f>IFERROR((($C57*st_DL)/st_res!D57),0)</f>
        <v>0</v>
      </c>
      <c r="F57" s="61">
        <f>IFERROR((($C57*st_DL)/st_res!E57),0)</f>
        <v>0</v>
      </c>
      <c r="G57" s="61">
        <f>IFERROR((($C57*st_DL)/st_res!F57),0)</f>
        <v>8.800755933805099E-4</v>
      </c>
      <c r="H57" s="61">
        <f>IFERROR((($C57*st_DL)/st_res!G57),0)</f>
        <v>8.800755933805099E-4</v>
      </c>
      <c r="I57" s="61">
        <f>IFERROR((($C57*st_DL)/st_res!H57),0)</f>
        <v>8.800755933805099E-4</v>
      </c>
    </row>
    <row r="58" spans="1:9">
      <c r="A58" s="65" t="s">
        <v>414</v>
      </c>
      <c r="B58" s="89">
        <v>1</v>
      </c>
      <c r="C58" s="58">
        <v>5</v>
      </c>
      <c r="D58" s="61">
        <f>IFERROR((($C58*st_DL)/st_res!C58),0)</f>
        <v>618.69548164477794</v>
      </c>
      <c r="E58" s="61">
        <f>IFERROR((($C58*st_DL)/st_res!D58),0)</f>
        <v>5894.8058050885402</v>
      </c>
      <c r="F58" s="61">
        <f>IFERROR((($C58*st_DL)/st_res!E58),0)</f>
        <v>63.790689582239366</v>
      </c>
      <c r="G58" s="61">
        <f>IFERROR((($C58*st_DL)/st_res!F58),0)</f>
        <v>3.9457942553483265E-3</v>
      </c>
      <c r="H58" s="61">
        <f>IFERROR((($C58*st_DL)/st_res!G58),0)</f>
        <v>682.49011702127268</v>
      </c>
      <c r="I58" s="61">
        <f>IFERROR((($C58*st_DL)/st_res!H58),0)</f>
        <v>6513.5052325275738</v>
      </c>
    </row>
    <row r="59" spans="1:9">
      <c r="A59" s="65" t="s">
        <v>415</v>
      </c>
      <c r="B59" s="89">
        <v>1</v>
      </c>
      <c r="C59" s="58">
        <v>5</v>
      </c>
      <c r="D59" s="61">
        <f>IFERROR((($C59*st_DL)/st_res!C59),0)</f>
        <v>1.0918155558437257</v>
      </c>
      <c r="E59" s="61">
        <f>IFERROR((($C59*st_DL)/st_res!D59),0)</f>
        <v>142.72664138356996</v>
      </c>
      <c r="F59" s="61">
        <f>IFERROR((($C59*st_DL)/st_res!E59),0)</f>
        <v>1.5445175255401238</v>
      </c>
      <c r="G59" s="61">
        <f>IFERROR((($C59*st_DL)/st_res!F59),0)</f>
        <v>5.8077992877504182E-2</v>
      </c>
      <c r="H59" s="61">
        <f>IFERROR((($C59*st_DL)/st_res!G59),0)</f>
        <v>2.6944110742613536</v>
      </c>
      <c r="I59" s="61">
        <f>IFERROR((($C59*st_DL)/st_res!H59),0)</f>
        <v>143.87653493229118</v>
      </c>
    </row>
    <row r="60" spans="1:9">
      <c r="A60" s="65" t="s">
        <v>416</v>
      </c>
      <c r="B60" s="91">
        <v>1.9000000000000001E-8</v>
      </c>
      <c r="C60" s="58">
        <v>5</v>
      </c>
      <c r="D60" s="61">
        <f>IFERROR((($C60*st_DL)/st_res!C60),0)</f>
        <v>0</v>
      </c>
      <c r="E60" s="61">
        <f>IFERROR((($C60*st_DL)/st_res!D60),0)</f>
        <v>0</v>
      </c>
      <c r="F60" s="61">
        <f>IFERROR((($C60*st_DL)/st_res!E60),0)</f>
        <v>0</v>
      </c>
      <c r="G60" s="61">
        <f>IFERROR((($C60*st_DL)/st_res!F60),0)</f>
        <v>4.6424186478272982E-9</v>
      </c>
      <c r="H60" s="61">
        <f>IFERROR((($C60*st_DL)/st_res!G60),0)</f>
        <v>4.6424186478272982E-9</v>
      </c>
      <c r="I60" s="61">
        <f>IFERROR((($C60*st_DL)/st_res!H60),0)</f>
        <v>4.6424186478272982E-9</v>
      </c>
    </row>
    <row r="61" spans="1:9">
      <c r="A61" s="65" t="s">
        <v>417</v>
      </c>
      <c r="B61" s="89">
        <v>1</v>
      </c>
      <c r="C61" s="58">
        <v>5</v>
      </c>
      <c r="D61" s="61">
        <f>IFERROR((($C61*st_DL)/st_res!C61),0)</f>
        <v>1061.4873459591777</v>
      </c>
      <c r="E61" s="61">
        <f>IFERROR((($C61*st_DL)/st_res!D61),0)</f>
        <v>4575.07316215827</v>
      </c>
      <c r="F61" s="61">
        <f>IFERROR((($C61*st_DL)/st_res!E61),0)</f>
        <v>49.509191914573833</v>
      </c>
      <c r="G61" s="61">
        <f>IFERROR((($C61*st_DL)/st_res!F61),0)</f>
        <v>1.4776002482107336E-5</v>
      </c>
      <c r="H61" s="61">
        <f>IFERROR((($C61*st_DL)/st_res!G61),0)</f>
        <v>1110.996552649754</v>
      </c>
      <c r="I61" s="61">
        <f>IFERROR((($C61*st_DL)/st_res!H61),0)</f>
        <v>5636.560522893451</v>
      </c>
    </row>
    <row r="62" spans="1:9">
      <c r="A62" s="65" t="s">
        <v>418</v>
      </c>
      <c r="B62" s="89">
        <v>1.339E-6</v>
      </c>
      <c r="C62" s="58">
        <v>5</v>
      </c>
      <c r="D62" s="61">
        <f>IFERROR((($C62*st_DL)/st_res!C62),0)</f>
        <v>0</v>
      </c>
      <c r="E62" s="61">
        <f>IFERROR((($C62*st_DL)/st_res!D62),0)</f>
        <v>0</v>
      </c>
      <c r="F62" s="61">
        <f>IFERROR((($C62*st_DL)/st_res!E62),0)</f>
        <v>0</v>
      </c>
      <c r="G62" s="61">
        <f>IFERROR((($C62*st_DL)/st_res!F62),0)</f>
        <v>1.4036892289101435E-7</v>
      </c>
      <c r="H62" s="61">
        <f>IFERROR((($C62*st_DL)/st_res!G62),0)</f>
        <v>1.4036892289101435E-7</v>
      </c>
      <c r="I62" s="61">
        <f>IFERROR((($C62*st_DL)/st_res!H62),0)</f>
        <v>1.4036892289101435E-7</v>
      </c>
    </row>
    <row r="63" spans="1:9">
      <c r="A63" s="63" t="s">
        <v>30</v>
      </c>
      <c r="B63" s="82" t="s">
        <v>6</v>
      </c>
      <c r="C63" s="66">
        <v>5</v>
      </c>
      <c r="D63" s="64">
        <f>SUM(D64:D76)</f>
        <v>1681.485703341265</v>
      </c>
      <c r="E63" s="64">
        <f t="shared" ref="E63:I63" si="3">SUM(E64:E76)</f>
        <v>10638.329343940379</v>
      </c>
      <c r="F63" s="64">
        <f t="shared" si="3"/>
        <v>115.12276863592726</v>
      </c>
      <c r="G63" s="64">
        <f t="shared" si="3"/>
        <v>2.6976451176914118</v>
      </c>
      <c r="H63" s="64">
        <f t="shared" si="3"/>
        <v>1799.3061170948838</v>
      </c>
      <c r="I63" s="64">
        <f t="shared" si="3"/>
        <v>12322.512692399338</v>
      </c>
    </row>
    <row r="64" spans="1:9">
      <c r="A64" s="65" t="s">
        <v>406</v>
      </c>
      <c r="B64" s="89">
        <v>1</v>
      </c>
      <c r="C64" s="58">
        <v>5</v>
      </c>
      <c r="D64" s="61">
        <f>IFERROR((($C64*st_DL)/st_res!C64),0)</f>
        <v>0</v>
      </c>
      <c r="E64" s="61">
        <f>IFERROR((($C64*st_DL)/st_res!D64),0)</f>
        <v>1.7305803425812354</v>
      </c>
      <c r="F64" s="61">
        <f>IFERROR((($C64*st_DL)/st_res!E64),0)</f>
        <v>1.8727489434075918E-2</v>
      </c>
      <c r="G64" s="61">
        <f>IFERROR((($C64*st_DL)/st_res!F64),0)</f>
        <v>5.9612229393822373E-4</v>
      </c>
      <c r="H64" s="61">
        <f>IFERROR((($C64*st_DL)/st_res!G64),0)</f>
        <v>1.932361172801414E-2</v>
      </c>
      <c r="I64" s="61">
        <f>IFERROR((($C64*st_DL)/st_res!H64),0)</f>
        <v>1.7311764648751737</v>
      </c>
    </row>
    <row r="65" spans="1:9">
      <c r="A65" s="65" t="s">
        <v>407</v>
      </c>
      <c r="B65" s="89">
        <v>1</v>
      </c>
      <c r="C65" s="58">
        <v>5</v>
      </c>
      <c r="D65" s="61">
        <f>IFERROR((($C65*st_DL)/st_res!C65),0)</f>
        <v>0</v>
      </c>
      <c r="E65" s="61">
        <f>IFERROR((($C65*st_DL)/st_res!D65),0)</f>
        <v>2.013285833659392</v>
      </c>
      <c r="F65" s="61">
        <f>IFERROR((($C65*st_DL)/st_res!E65),0)</f>
        <v>2.1786789234757024E-2</v>
      </c>
      <c r="G65" s="61">
        <f>IFERROR((($C65*st_DL)/st_res!F65),0)</f>
        <v>1.0882755123621999E-8</v>
      </c>
      <c r="H65" s="61">
        <f>IFERROR((($C65*st_DL)/st_res!G65),0)</f>
        <v>2.1786800117512148E-2</v>
      </c>
      <c r="I65" s="61">
        <f>IFERROR((($C65*st_DL)/st_res!H65),0)</f>
        <v>2.0132858445421471</v>
      </c>
    </row>
    <row r="66" spans="1:9">
      <c r="A66" s="65" t="s">
        <v>408</v>
      </c>
      <c r="B66" s="89">
        <v>0.99980000000000002</v>
      </c>
      <c r="C66" s="58">
        <v>5</v>
      </c>
      <c r="D66" s="61">
        <f>IFERROR((($C66*st_DL)/st_res!C66),0)</f>
        <v>0.1206821340854327</v>
      </c>
      <c r="E66" s="61">
        <f>IFERROR((($C66*st_DL)/st_res!D66),0)</f>
        <v>12.309758008472169</v>
      </c>
      <c r="F66" s="61">
        <f>IFERROR((($C66*st_DL)/st_res!E66),0)</f>
        <v>0.13321014769868889</v>
      </c>
      <c r="G66" s="61">
        <f>IFERROR((($C66*st_DL)/st_res!F66),0)</f>
        <v>0.39833561919701194</v>
      </c>
      <c r="H66" s="61">
        <f>IFERROR((($C66*st_DL)/st_res!G66),0)</f>
        <v>0.65222790098113348</v>
      </c>
      <c r="I66" s="61">
        <f>IFERROR((($C66*st_DL)/st_res!H66),0)</f>
        <v>12.828775761754613</v>
      </c>
    </row>
    <row r="67" spans="1:9">
      <c r="A67" s="65" t="s">
        <v>409</v>
      </c>
      <c r="B67" s="89">
        <v>2.0000000000000001E-4</v>
      </c>
      <c r="C67" s="58">
        <v>5</v>
      </c>
      <c r="D67" s="61">
        <f>IFERROR((($C67*st_DL)/st_res!C67),0)</f>
        <v>0</v>
      </c>
      <c r="E67" s="61">
        <f>IFERROR((($C67*st_DL)/st_res!D67),0)</f>
        <v>0</v>
      </c>
      <c r="F67" s="61">
        <f>IFERROR((($C67*st_DL)/st_res!E67),0)</f>
        <v>0</v>
      </c>
      <c r="G67" s="61">
        <f>IFERROR((($C67*st_DL)/st_res!F67),0)</f>
        <v>4.0912613246699242E-8</v>
      </c>
      <c r="H67" s="61">
        <f>IFERROR((($C67*st_DL)/st_res!G67),0)</f>
        <v>4.0912613246699242E-8</v>
      </c>
      <c r="I67" s="61">
        <f>IFERROR((($C67*st_DL)/st_res!H67),0)</f>
        <v>4.0912613246699242E-8</v>
      </c>
    </row>
    <row r="68" spans="1:9">
      <c r="A68" s="65" t="s">
        <v>410</v>
      </c>
      <c r="B68" s="89">
        <v>0.99999979999999999</v>
      </c>
      <c r="C68" s="58">
        <v>5</v>
      </c>
      <c r="D68" s="61">
        <f>IFERROR((($C68*st_DL)/st_res!C68),0)</f>
        <v>9.0378047380339763E-2</v>
      </c>
      <c r="E68" s="61">
        <f>IFERROR((($C68*st_DL)/st_res!D68),0)</f>
        <v>9.6701111252862741</v>
      </c>
      <c r="F68" s="61">
        <f>IFERROR((($C68*st_DL)/st_res!E68),0)</f>
        <v>0.10464518720640546</v>
      </c>
      <c r="G68" s="61">
        <f>IFERROR((($C68*st_DL)/st_res!F68),0)</f>
        <v>2.2356687493605865</v>
      </c>
      <c r="H68" s="61">
        <f>IFERROR((($C68*st_DL)/st_res!G68),0)</f>
        <v>2.430691983947332</v>
      </c>
      <c r="I68" s="61">
        <f>IFERROR((($C68*st_DL)/st_res!H68),0)</f>
        <v>11.9961579220272</v>
      </c>
    </row>
    <row r="69" spans="1:9">
      <c r="A69" s="65" t="s">
        <v>411</v>
      </c>
      <c r="B69" s="89">
        <v>1.9999999999999999E-7</v>
      </c>
      <c r="C69" s="58">
        <v>5</v>
      </c>
      <c r="D69" s="61">
        <f>IFERROR((($C69*st_DL)/st_res!C69),0)</f>
        <v>0</v>
      </c>
      <c r="E69" s="61">
        <f>IFERROR((($C69*st_DL)/st_res!D69),0)</f>
        <v>0</v>
      </c>
      <c r="F69" s="61">
        <f>IFERROR((($C69*st_DL)/st_res!E69),0)</f>
        <v>0</v>
      </c>
      <c r="G69" s="61">
        <f>IFERROR((($C69*st_DL)/st_res!F69),0)</f>
        <v>2.3329971750691631E-10</v>
      </c>
      <c r="H69" s="61">
        <f>IFERROR((($C69*st_DL)/st_res!G69),0)</f>
        <v>2.3329971750691631E-10</v>
      </c>
      <c r="I69" s="61">
        <f>IFERROR((($C69*st_DL)/st_res!H69),0)</f>
        <v>2.3329971750691631E-10</v>
      </c>
    </row>
    <row r="70" spans="1:9">
      <c r="A70" s="65" t="s">
        <v>412</v>
      </c>
      <c r="B70" s="89">
        <v>0.99979000004200003</v>
      </c>
      <c r="C70" s="58">
        <v>5</v>
      </c>
      <c r="D70" s="61">
        <f>IFERROR((($C70*st_DL)/st_res!C70),0)</f>
        <v>0</v>
      </c>
      <c r="E70" s="61">
        <f>IFERROR((($C70*st_DL)/st_res!D70),0)</f>
        <v>0</v>
      </c>
      <c r="F70" s="61">
        <f>IFERROR((($C70*st_DL)/st_res!E70),0)</f>
        <v>0</v>
      </c>
      <c r="G70" s="61">
        <f>IFERROR((($C70*st_DL)/st_res!F70),0)</f>
        <v>1.2579107115086926E-4</v>
      </c>
      <c r="H70" s="61">
        <f>IFERROR((($C70*st_DL)/st_res!G70),0)</f>
        <v>1.2579107115086926E-4</v>
      </c>
      <c r="I70" s="61">
        <f>IFERROR((($C70*st_DL)/st_res!H70),0)</f>
        <v>1.2579107115086926E-4</v>
      </c>
    </row>
    <row r="71" spans="1:9">
      <c r="A71" s="65" t="s">
        <v>413</v>
      </c>
      <c r="B71" s="89">
        <v>2.0999995799999999E-4</v>
      </c>
      <c r="C71" s="58">
        <v>5</v>
      </c>
      <c r="D71" s="61">
        <f>IFERROR((($C71*st_DL)/st_res!C71),0)</f>
        <v>0</v>
      </c>
      <c r="E71" s="61">
        <f>IFERROR((($C71*st_DL)/st_res!D71),0)</f>
        <v>0</v>
      </c>
      <c r="F71" s="61">
        <f>IFERROR((($C71*st_DL)/st_res!E71),0)</f>
        <v>0</v>
      </c>
      <c r="G71" s="61">
        <f>IFERROR((($C71*st_DL)/st_res!F71),0)</f>
        <v>8.800755933805099E-4</v>
      </c>
      <c r="H71" s="61">
        <f>IFERROR((($C71*st_DL)/st_res!G71),0)</f>
        <v>8.800755933805099E-4</v>
      </c>
      <c r="I71" s="61">
        <f>IFERROR((($C71*st_DL)/st_res!H71),0)</f>
        <v>8.800755933805099E-4</v>
      </c>
    </row>
    <row r="72" spans="1:9">
      <c r="A72" s="65" t="s">
        <v>414</v>
      </c>
      <c r="B72" s="89">
        <v>1</v>
      </c>
      <c r="C72" s="58">
        <v>5</v>
      </c>
      <c r="D72" s="61">
        <f>IFERROR((($C72*st_DL)/st_res!C72),0)</f>
        <v>618.69548164477794</v>
      </c>
      <c r="E72" s="61">
        <f>IFERROR((($C72*st_DL)/st_res!D72),0)</f>
        <v>5894.8058050885402</v>
      </c>
      <c r="F72" s="61">
        <f>IFERROR((($C72*st_DL)/st_res!E72),0)</f>
        <v>63.790689582239366</v>
      </c>
      <c r="G72" s="61">
        <f>IFERROR((($C72*st_DL)/st_res!F72),0)</f>
        <v>3.9457942553483265E-3</v>
      </c>
      <c r="H72" s="61">
        <f>IFERROR((($C72*st_DL)/st_res!G72),0)</f>
        <v>682.49011702127268</v>
      </c>
      <c r="I72" s="61">
        <f>IFERROR((($C72*st_DL)/st_res!H72),0)</f>
        <v>6513.5052325275738</v>
      </c>
    </row>
    <row r="73" spans="1:9">
      <c r="A73" s="65" t="s">
        <v>415</v>
      </c>
      <c r="B73" s="89">
        <v>1</v>
      </c>
      <c r="C73" s="58">
        <v>5</v>
      </c>
      <c r="D73" s="61">
        <f>IFERROR((($C73*st_DL)/st_res!C73),0)</f>
        <v>1.0918155558437257</v>
      </c>
      <c r="E73" s="61">
        <f>IFERROR((($C73*st_DL)/st_res!D73),0)</f>
        <v>142.72664138356996</v>
      </c>
      <c r="F73" s="61">
        <f>IFERROR((($C73*st_DL)/st_res!E73),0)</f>
        <v>1.5445175255401238</v>
      </c>
      <c r="G73" s="61">
        <f>IFERROR((($C73*st_DL)/st_res!F73),0)</f>
        <v>5.8077992877504182E-2</v>
      </c>
      <c r="H73" s="61">
        <f>IFERROR((($C73*st_DL)/st_res!G73),0)</f>
        <v>2.6944110742613536</v>
      </c>
      <c r="I73" s="61">
        <f>IFERROR((($C73*st_DL)/st_res!H73),0)</f>
        <v>143.87653493229118</v>
      </c>
    </row>
    <row r="74" spans="1:9">
      <c r="A74" s="65" t="s">
        <v>416</v>
      </c>
      <c r="B74" s="91">
        <v>1.9000000000000001E-8</v>
      </c>
      <c r="C74" s="58">
        <v>5</v>
      </c>
      <c r="D74" s="61">
        <f>IFERROR((($C74*st_DL)/st_res!C74),0)</f>
        <v>0</v>
      </c>
      <c r="E74" s="61">
        <f>IFERROR((($C74*st_DL)/st_res!D74),0)</f>
        <v>0</v>
      </c>
      <c r="F74" s="61">
        <f>IFERROR((($C74*st_DL)/st_res!E74),0)</f>
        <v>0</v>
      </c>
      <c r="G74" s="61">
        <f>IFERROR((($C74*st_DL)/st_res!F74),0)</f>
        <v>4.6424186478272982E-9</v>
      </c>
      <c r="H74" s="61">
        <f>IFERROR((($C74*st_DL)/st_res!G74),0)</f>
        <v>4.6424186478272982E-9</v>
      </c>
      <c r="I74" s="61">
        <f>IFERROR((($C74*st_DL)/st_res!H74),0)</f>
        <v>4.6424186478272982E-9</v>
      </c>
    </row>
    <row r="75" spans="1:9">
      <c r="A75" s="65" t="s">
        <v>417</v>
      </c>
      <c r="B75" s="89">
        <v>1</v>
      </c>
      <c r="C75" s="58">
        <v>5</v>
      </c>
      <c r="D75" s="61">
        <f>IFERROR((($C75*st_DL)/st_res!C75),0)</f>
        <v>1061.4873459591777</v>
      </c>
      <c r="E75" s="61">
        <f>IFERROR((($C75*st_DL)/st_res!D75),0)</f>
        <v>4575.07316215827</v>
      </c>
      <c r="F75" s="61">
        <f>IFERROR((($C75*st_DL)/st_res!E75),0)</f>
        <v>49.509191914573833</v>
      </c>
      <c r="G75" s="61">
        <f>IFERROR((($C75*st_DL)/st_res!F75),0)</f>
        <v>1.4776002482107336E-5</v>
      </c>
      <c r="H75" s="61">
        <f>IFERROR((($C75*st_DL)/st_res!G75),0)</f>
        <v>1110.996552649754</v>
      </c>
      <c r="I75" s="61">
        <f>IFERROR((($C75*st_DL)/st_res!H75),0)</f>
        <v>5636.560522893451</v>
      </c>
    </row>
    <row r="76" spans="1:9">
      <c r="A76" s="65" t="s">
        <v>418</v>
      </c>
      <c r="B76" s="89">
        <v>1.339E-6</v>
      </c>
      <c r="C76" s="58">
        <v>5</v>
      </c>
      <c r="D76" s="61">
        <f>IFERROR((($C76*st_DL)/st_res!C76),0)</f>
        <v>0</v>
      </c>
      <c r="E76" s="61">
        <f>IFERROR((($C76*st_DL)/st_res!D76),0)</f>
        <v>0</v>
      </c>
      <c r="F76" s="61">
        <f>IFERROR((($C76*st_DL)/st_res!E76),0)</f>
        <v>0</v>
      </c>
      <c r="G76" s="61">
        <f>IFERROR((($C76*st_DL)/st_res!F76),0)</f>
        <v>1.4036892289101435E-7</v>
      </c>
      <c r="H76" s="61">
        <f>IFERROR((($C76*st_DL)/st_res!G76),0)</f>
        <v>1.4036892289101435E-7</v>
      </c>
      <c r="I76" s="61">
        <f>IFERROR((($C76*st_DL)/st_res!H76),0)</f>
        <v>1.4036892289101435E-7</v>
      </c>
    </row>
  </sheetData>
  <sheetProtection algorithmName="SHA-512" hashValue="Xo41u8w8ENeitZdQyAtfpqOHGTtx8EQAwxJTfJkPclrrDiDXSYcAIEc0lYhzsk9KzglCIwgBoefCo9kXo3ifAQ==" saltValue="maNl4e047Itza/mrZWXBEA==" spinCount="100000" sheet="1" objects="1" scenarios="1"/>
  <autoFilter ref="A1:I76" xr:uid="{00000000-0009-0000-0000-00000E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I76"/>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4.25"/>
  <cols>
    <col min="1" max="1" width="12.59765625" style="4" bestFit="1" customWidth="1"/>
    <col min="2" max="2" width="12" style="77" bestFit="1" customWidth="1"/>
    <col min="3" max="3" width="8.1328125" style="4" bestFit="1" customWidth="1"/>
    <col min="4" max="4" width="15.1328125" style="4" bestFit="1" customWidth="1"/>
    <col min="5" max="5" width="18" style="4" bestFit="1" customWidth="1"/>
    <col min="6" max="6" width="17.86328125" style="4" bestFit="1" customWidth="1"/>
    <col min="7" max="7" width="15.1328125" style="4" bestFit="1" customWidth="1"/>
    <col min="8" max="8" width="16.73046875" style="4" bestFit="1" customWidth="1"/>
    <col min="9" max="9" width="16.86328125" style="4" bestFit="1" customWidth="1"/>
    <col min="10" max="245" width="9.1328125" style="4"/>
    <col min="246" max="246" width="15.3984375" style="4" bestFit="1" customWidth="1"/>
    <col min="247" max="247" width="11.1328125" style="4" bestFit="1" customWidth="1"/>
    <col min="248" max="248" width="14.59765625" style="4" bestFit="1" customWidth="1"/>
    <col min="249" max="249" width="17.3984375" style="4" bestFit="1" customWidth="1"/>
    <col min="250" max="250" width="17.59765625" style="4" bestFit="1" customWidth="1"/>
    <col min="251" max="251" width="14.73046875" style="4" bestFit="1" customWidth="1"/>
    <col min="252" max="252" width="14.3984375" style="4" bestFit="1" customWidth="1"/>
    <col min="253" max="253" width="12.1328125" style="4" bestFit="1" customWidth="1"/>
    <col min="254" max="254" width="12.3984375" style="4" bestFit="1" customWidth="1"/>
    <col min="255" max="256" width="13.86328125" style="4" bestFit="1" customWidth="1"/>
    <col min="257" max="257" width="14.86328125" style="4" bestFit="1" customWidth="1"/>
    <col min="258" max="258" width="12.1328125" style="4" bestFit="1" customWidth="1"/>
    <col min="259" max="259" width="12.3984375" style="4" bestFit="1" customWidth="1"/>
    <col min="260" max="261" width="13.86328125" style="4" bestFit="1" customWidth="1"/>
    <col min="262" max="262" width="14.86328125" style="4" bestFit="1" customWidth="1"/>
    <col min="263" max="501" width="9.1328125" style="4"/>
    <col min="502" max="502" width="15.3984375" style="4" bestFit="1" customWidth="1"/>
    <col min="503" max="503" width="11.1328125" style="4" bestFit="1" customWidth="1"/>
    <col min="504" max="504" width="14.59765625" style="4" bestFit="1" customWidth="1"/>
    <col min="505" max="505" width="17.3984375" style="4" bestFit="1" customWidth="1"/>
    <col min="506" max="506" width="17.59765625" style="4" bestFit="1" customWidth="1"/>
    <col min="507" max="507" width="14.73046875" style="4" bestFit="1" customWidth="1"/>
    <col min="508" max="508" width="14.3984375" style="4" bestFit="1" customWidth="1"/>
    <col min="509" max="509" width="12.1328125" style="4" bestFit="1" customWidth="1"/>
    <col min="510" max="510" width="12.3984375" style="4" bestFit="1" customWidth="1"/>
    <col min="511" max="512" width="13.86328125" style="4" bestFit="1" customWidth="1"/>
    <col min="513" max="513" width="14.86328125" style="4" bestFit="1" customWidth="1"/>
    <col min="514" max="514" width="12.1328125" style="4" bestFit="1" customWidth="1"/>
    <col min="515" max="515" width="12.3984375" style="4" bestFit="1" customWidth="1"/>
    <col min="516" max="517" width="13.86328125" style="4" bestFit="1" customWidth="1"/>
    <col min="518" max="518" width="14.86328125" style="4" bestFit="1" customWidth="1"/>
    <col min="519" max="757" width="9.1328125" style="4"/>
    <col min="758" max="758" width="15.3984375" style="4" bestFit="1" customWidth="1"/>
    <col min="759" max="759" width="11.1328125" style="4" bestFit="1" customWidth="1"/>
    <col min="760" max="760" width="14.59765625" style="4" bestFit="1" customWidth="1"/>
    <col min="761" max="761" width="17.3984375" style="4" bestFit="1" customWidth="1"/>
    <col min="762" max="762" width="17.59765625" style="4" bestFit="1" customWidth="1"/>
    <col min="763" max="763" width="14.73046875" style="4" bestFit="1" customWidth="1"/>
    <col min="764" max="764" width="14.3984375" style="4" bestFit="1" customWidth="1"/>
    <col min="765" max="765" width="12.1328125" style="4" bestFit="1" customWidth="1"/>
    <col min="766" max="766" width="12.3984375" style="4" bestFit="1" customWidth="1"/>
    <col min="767" max="768" width="13.86328125" style="4" bestFit="1" customWidth="1"/>
    <col min="769" max="769" width="14.86328125" style="4" bestFit="1" customWidth="1"/>
    <col min="770" max="770" width="12.1328125" style="4" bestFit="1" customWidth="1"/>
    <col min="771" max="771" width="12.3984375" style="4" bestFit="1" customWidth="1"/>
    <col min="772" max="773" width="13.86328125" style="4" bestFit="1" customWidth="1"/>
    <col min="774" max="774" width="14.86328125" style="4" bestFit="1" customWidth="1"/>
    <col min="775" max="1013" width="9.1328125" style="4"/>
    <col min="1014" max="1014" width="15.3984375" style="4" bestFit="1" customWidth="1"/>
    <col min="1015" max="1015" width="11.1328125" style="4" bestFit="1" customWidth="1"/>
    <col min="1016" max="1016" width="14.59765625" style="4" bestFit="1" customWidth="1"/>
    <col min="1017" max="1017" width="17.3984375" style="4" bestFit="1" customWidth="1"/>
    <col min="1018" max="1018" width="17.59765625" style="4" bestFit="1" customWidth="1"/>
    <col min="1019" max="1019" width="14.73046875" style="4" bestFit="1" customWidth="1"/>
    <col min="1020" max="1020" width="14.3984375" style="4" bestFit="1" customWidth="1"/>
    <col min="1021" max="1021" width="12.1328125" style="4" bestFit="1" customWidth="1"/>
    <col min="1022" max="1022" width="12.3984375" style="4" bestFit="1" customWidth="1"/>
    <col min="1023" max="1024" width="13.86328125" style="4" bestFit="1" customWidth="1"/>
    <col min="1025" max="1025" width="14.86328125" style="4" bestFit="1" customWidth="1"/>
    <col min="1026" max="1026" width="12.1328125" style="4" bestFit="1" customWidth="1"/>
    <col min="1027" max="1027" width="12.3984375" style="4" bestFit="1" customWidth="1"/>
    <col min="1028" max="1029" width="13.86328125" style="4" bestFit="1" customWidth="1"/>
    <col min="1030" max="1030" width="14.86328125" style="4" bestFit="1" customWidth="1"/>
    <col min="1031" max="1269" width="9.1328125" style="4"/>
    <col min="1270" max="1270" width="15.3984375" style="4" bestFit="1" customWidth="1"/>
    <col min="1271" max="1271" width="11.1328125" style="4" bestFit="1" customWidth="1"/>
    <col min="1272" max="1272" width="14.59765625" style="4" bestFit="1" customWidth="1"/>
    <col min="1273" max="1273" width="17.3984375" style="4" bestFit="1" customWidth="1"/>
    <col min="1274" max="1274" width="17.59765625" style="4" bestFit="1" customWidth="1"/>
    <col min="1275" max="1275" width="14.73046875" style="4" bestFit="1" customWidth="1"/>
    <col min="1276" max="1276" width="14.3984375" style="4" bestFit="1" customWidth="1"/>
    <col min="1277" max="1277" width="12.1328125" style="4" bestFit="1" customWidth="1"/>
    <col min="1278" max="1278" width="12.3984375" style="4" bestFit="1" customWidth="1"/>
    <col min="1279" max="1280" width="13.86328125" style="4" bestFit="1" customWidth="1"/>
    <col min="1281" max="1281" width="14.86328125" style="4" bestFit="1" customWidth="1"/>
    <col min="1282" max="1282" width="12.1328125" style="4" bestFit="1" customWidth="1"/>
    <col min="1283" max="1283" width="12.3984375" style="4" bestFit="1" customWidth="1"/>
    <col min="1284" max="1285" width="13.86328125" style="4" bestFit="1" customWidth="1"/>
    <col min="1286" max="1286" width="14.86328125" style="4" bestFit="1" customWidth="1"/>
    <col min="1287" max="1525" width="9.1328125" style="4"/>
    <col min="1526" max="1526" width="15.3984375" style="4" bestFit="1" customWidth="1"/>
    <col min="1527" max="1527" width="11.1328125" style="4" bestFit="1" customWidth="1"/>
    <col min="1528" max="1528" width="14.59765625" style="4" bestFit="1" customWidth="1"/>
    <col min="1529" max="1529" width="17.3984375" style="4" bestFit="1" customWidth="1"/>
    <col min="1530" max="1530" width="17.59765625" style="4" bestFit="1" customWidth="1"/>
    <col min="1531" max="1531" width="14.73046875" style="4" bestFit="1" customWidth="1"/>
    <col min="1532" max="1532" width="14.3984375" style="4" bestFit="1" customWidth="1"/>
    <col min="1533" max="1533" width="12.1328125" style="4" bestFit="1" customWidth="1"/>
    <col min="1534" max="1534" width="12.3984375" style="4" bestFit="1" customWidth="1"/>
    <col min="1535" max="1536" width="13.86328125" style="4" bestFit="1" customWidth="1"/>
    <col min="1537" max="1537" width="14.86328125" style="4" bestFit="1" customWidth="1"/>
    <col min="1538" max="1538" width="12.1328125" style="4" bestFit="1" customWidth="1"/>
    <col min="1539" max="1539" width="12.3984375" style="4" bestFit="1" customWidth="1"/>
    <col min="1540" max="1541" width="13.86328125" style="4" bestFit="1" customWidth="1"/>
    <col min="1542" max="1542" width="14.86328125" style="4" bestFit="1" customWidth="1"/>
    <col min="1543" max="1781" width="9.1328125" style="4"/>
    <col min="1782" max="1782" width="15.3984375" style="4" bestFit="1" customWidth="1"/>
    <col min="1783" max="1783" width="11.1328125" style="4" bestFit="1" customWidth="1"/>
    <col min="1784" max="1784" width="14.59765625" style="4" bestFit="1" customWidth="1"/>
    <col min="1785" max="1785" width="17.3984375" style="4" bestFit="1" customWidth="1"/>
    <col min="1786" max="1786" width="17.59765625" style="4" bestFit="1" customWidth="1"/>
    <col min="1787" max="1787" width="14.73046875" style="4" bestFit="1" customWidth="1"/>
    <col min="1788" max="1788" width="14.3984375" style="4" bestFit="1" customWidth="1"/>
    <col min="1789" max="1789" width="12.1328125" style="4" bestFit="1" customWidth="1"/>
    <col min="1790" max="1790" width="12.3984375" style="4" bestFit="1" customWidth="1"/>
    <col min="1791" max="1792" width="13.86328125" style="4" bestFit="1" customWidth="1"/>
    <col min="1793" max="1793" width="14.86328125" style="4" bestFit="1" customWidth="1"/>
    <col min="1794" max="1794" width="12.1328125" style="4" bestFit="1" customWidth="1"/>
    <col min="1795" max="1795" width="12.3984375" style="4" bestFit="1" customWidth="1"/>
    <col min="1796" max="1797" width="13.86328125" style="4" bestFit="1" customWidth="1"/>
    <col min="1798" max="1798" width="14.86328125" style="4" bestFit="1" customWidth="1"/>
    <col min="1799" max="2037" width="9.1328125" style="4"/>
    <col min="2038" max="2038" width="15.3984375" style="4" bestFit="1" customWidth="1"/>
    <col min="2039" max="2039" width="11.1328125" style="4" bestFit="1" customWidth="1"/>
    <col min="2040" max="2040" width="14.59765625" style="4" bestFit="1" customWidth="1"/>
    <col min="2041" max="2041" width="17.3984375" style="4" bestFit="1" customWidth="1"/>
    <col min="2042" max="2042" width="17.59765625" style="4" bestFit="1" customWidth="1"/>
    <col min="2043" max="2043" width="14.73046875" style="4" bestFit="1" customWidth="1"/>
    <col min="2044" max="2044" width="14.3984375" style="4" bestFit="1" customWidth="1"/>
    <col min="2045" max="2045" width="12.1328125" style="4" bestFit="1" customWidth="1"/>
    <col min="2046" max="2046" width="12.3984375" style="4" bestFit="1" customWidth="1"/>
    <col min="2047" max="2048" width="13.86328125" style="4" bestFit="1" customWidth="1"/>
    <col min="2049" max="2049" width="14.86328125" style="4" bestFit="1" customWidth="1"/>
    <col min="2050" max="2050" width="12.1328125" style="4" bestFit="1" customWidth="1"/>
    <col min="2051" max="2051" width="12.3984375" style="4" bestFit="1" customWidth="1"/>
    <col min="2052" max="2053" width="13.86328125" style="4" bestFit="1" customWidth="1"/>
    <col min="2054" max="2054" width="14.86328125" style="4" bestFit="1" customWidth="1"/>
    <col min="2055" max="2293" width="9.1328125" style="4"/>
    <col min="2294" max="2294" width="15.3984375" style="4" bestFit="1" customWidth="1"/>
    <col min="2295" max="2295" width="11.1328125" style="4" bestFit="1" customWidth="1"/>
    <col min="2296" max="2296" width="14.59765625" style="4" bestFit="1" customWidth="1"/>
    <col min="2297" max="2297" width="17.3984375" style="4" bestFit="1" customWidth="1"/>
    <col min="2298" max="2298" width="17.59765625" style="4" bestFit="1" customWidth="1"/>
    <col min="2299" max="2299" width="14.73046875" style="4" bestFit="1" customWidth="1"/>
    <col min="2300" max="2300" width="14.3984375" style="4" bestFit="1" customWidth="1"/>
    <col min="2301" max="2301" width="12.1328125" style="4" bestFit="1" customWidth="1"/>
    <col min="2302" max="2302" width="12.3984375" style="4" bestFit="1" customWidth="1"/>
    <col min="2303" max="2304" width="13.86328125" style="4" bestFit="1" customWidth="1"/>
    <col min="2305" max="2305" width="14.86328125" style="4" bestFit="1" customWidth="1"/>
    <col min="2306" max="2306" width="12.1328125" style="4" bestFit="1" customWidth="1"/>
    <col min="2307" max="2307" width="12.3984375" style="4" bestFit="1" customWidth="1"/>
    <col min="2308" max="2309" width="13.86328125" style="4" bestFit="1" customWidth="1"/>
    <col min="2310" max="2310" width="14.86328125" style="4" bestFit="1" customWidth="1"/>
    <col min="2311" max="2549" width="9.1328125" style="4"/>
    <col min="2550" max="2550" width="15.3984375" style="4" bestFit="1" customWidth="1"/>
    <col min="2551" max="2551" width="11.1328125" style="4" bestFit="1" customWidth="1"/>
    <col min="2552" max="2552" width="14.59765625" style="4" bestFit="1" customWidth="1"/>
    <col min="2553" max="2553" width="17.3984375" style="4" bestFit="1" customWidth="1"/>
    <col min="2554" max="2554" width="17.59765625" style="4" bestFit="1" customWidth="1"/>
    <col min="2555" max="2555" width="14.73046875" style="4" bestFit="1" customWidth="1"/>
    <col min="2556" max="2556" width="14.3984375" style="4" bestFit="1" customWidth="1"/>
    <col min="2557" max="2557" width="12.1328125" style="4" bestFit="1" customWidth="1"/>
    <col min="2558" max="2558" width="12.3984375" style="4" bestFit="1" customWidth="1"/>
    <col min="2559" max="2560" width="13.86328125" style="4" bestFit="1" customWidth="1"/>
    <col min="2561" max="2561" width="14.86328125" style="4" bestFit="1" customWidth="1"/>
    <col min="2562" max="2562" width="12.1328125" style="4" bestFit="1" customWidth="1"/>
    <col min="2563" max="2563" width="12.3984375" style="4" bestFit="1" customWidth="1"/>
    <col min="2564" max="2565" width="13.86328125" style="4" bestFit="1" customWidth="1"/>
    <col min="2566" max="2566" width="14.86328125" style="4" bestFit="1" customWidth="1"/>
    <col min="2567" max="2805" width="9.1328125" style="4"/>
    <col min="2806" max="2806" width="15.3984375" style="4" bestFit="1" customWidth="1"/>
    <col min="2807" max="2807" width="11.1328125" style="4" bestFit="1" customWidth="1"/>
    <col min="2808" max="2808" width="14.59765625" style="4" bestFit="1" customWidth="1"/>
    <col min="2809" max="2809" width="17.3984375" style="4" bestFit="1" customWidth="1"/>
    <col min="2810" max="2810" width="17.59765625" style="4" bestFit="1" customWidth="1"/>
    <col min="2811" max="2811" width="14.73046875" style="4" bestFit="1" customWidth="1"/>
    <col min="2812" max="2812" width="14.3984375" style="4" bestFit="1" customWidth="1"/>
    <col min="2813" max="2813" width="12.1328125" style="4" bestFit="1" customWidth="1"/>
    <col min="2814" max="2814" width="12.3984375" style="4" bestFit="1" customWidth="1"/>
    <col min="2815" max="2816" width="13.86328125" style="4" bestFit="1" customWidth="1"/>
    <col min="2817" max="2817" width="14.86328125" style="4" bestFit="1" customWidth="1"/>
    <col min="2818" max="2818" width="12.1328125" style="4" bestFit="1" customWidth="1"/>
    <col min="2819" max="2819" width="12.3984375" style="4" bestFit="1" customWidth="1"/>
    <col min="2820" max="2821" width="13.86328125" style="4" bestFit="1" customWidth="1"/>
    <col min="2822" max="2822" width="14.86328125" style="4" bestFit="1" customWidth="1"/>
    <col min="2823" max="3061" width="9.1328125" style="4"/>
    <col min="3062" max="3062" width="15.3984375" style="4" bestFit="1" customWidth="1"/>
    <col min="3063" max="3063" width="11.1328125" style="4" bestFit="1" customWidth="1"/>
    <col min="3064" max="3064" width="14.59765625" style="4" bestFit="1" customWidth="1"/>
    <col min="3065" max="3065" width="17.3984375" style="4" bestFit="1" customWidth="1"/>
    <col min="3066" max="3066" width="17.59765625" style="4" bestFit="1" customWidth="1"/>
    <col min="3067" max="3067" width="14.73046875" style="4" bestFit="1" customWidth="1"/>
    <col min="3068" max="3068" width="14.3984375" style="4" bestFit="1" customWidth="1"/>
    <col min="3069" max="3069" width="12.1328125" style="4" bestFit="1" customWidth="1"/>
    <col min="3070" max="3070" width="12.3984375" style="4" bestFit="1" customWidth="1"/>
    <col min="3071" max="3072" width="13.86328125" style="4" bestFit="1" customWidth="1"/>
    <col min="3073" max="3073" width="14.86328125" style="4" bestFit="1" customWidth="1"/>
    <col min="3074" max="3074" width="12.1328125" style="4" bestFit="1" customWidth="1"/>
    <col min="3075" max="3075" width="12.3984375" style="4" bestFit="1" customWidth="1"/>
    <col min="3076" max="3077" width="13.86328125" style="4" bestFit="1" customWidth="1"/>
    <col min="3078" max="3078" width="14.86328125" style="4" bestFit="1" customWidth="1"/>
    <col min="3079" max="3317" width="9.1328125" style="4"/>
    <col min="3318" max="3318" width="15.3984375" style="4" bestFit="1" customWidth="1"/>
    <col min="3319" max="3319" width="11.1328125" style="4" bestFit="1" customWidth="1"/>
    <col min="3320" max="3320" width="14.59765625" style="4" bestFit="1" customWidth="1"/>
    <col min="3321" max="3321" width="17.3984375" style="4" bestFit="1" customWidth="1"/>
    <col min="3322" max="3322" width="17.59765625" style="4" bestFit="1" customWidth="1"/>
    <col min="3323" max="3323" width="14.73046875" style="4" bestFit="1" customWidth="1"/>
    <col min="3324" max="3324" width="14.3984375" style="4" bestFit="1" customWidth="1"/>
    <col min="3325" max="3325" width="12.1328125" style="4" bestFit="1" customWidth="1"/>
    <col min="3326" max="3326" width="12.3984375" style="4" bestFit="1" customWidth="1"/>
    <col min="3327" max="3328" width="13.86328125" style="4" bestFit="1" customWidth="1"/>
    <col min="3329" max="3329" width="14.86328125" style="4" bestFit="1" customWidth="1"/>
    <col min="3330" max="3330" width="12.1328125" style="4" bestFit="1" customWidth="1"/>
    <col min="3331" max="3331" width="12.3984375" style="4" bestFit="1" customWidth="1"/>
    <col min="3332" max="3333" width="13.86328125" style="4" bestFit="1" customWidth="1"/>
    <col min="3334" max="3334" width="14.86328125" style="4" bestFit="1" customWidth="1"/>
    <col min="3335" max="3573" width="9.1328125" style="4"/>
    <col min="3574" max="3574" width="15.3984375" style="4" bestFit="1" customWidth="1"/>
    <col min="3575" max="3575" width="11.1328125" style="4" bestFit="1" customWidth="1"/>
    <col min="3576" max="3576" width="14.59765625" style="4" bestFit="1" customWidth="1"/>
    <col min="3577" max="3577" width="17.3984375" style="4" bestFit="1" customWidth="1"/>
    <col min="3578" max="3578" width="17.59765625" style="4" bestFit="1" customWidth="1"/>
    <col min="3579" max="3579" width="14.73046875" style="4" bestFit="1" customWidth="1"/>
    <col min="3580" max="3580" width="14.3984375" style="4" bestFit="1" customWidth="1"/>
    <col min="3581" max="3581" width="12.1328125" style="4" bestFit="1" customWidth="1"/>
    <col min="3582" max="3582" width="12.3984375" style="4" bestFit="1" customWidth="1"/>
    <col min="3583" max="3584" width="13.86328125" style="4" bestFit="1" customWidth="1"/>
    <col min="3585" max="3585" width="14.86328125" style="4" bestFit="1" customWidth="1"/>
    <col min="3586" max="3586" width="12.1328125" style="4" bestFit="1" customWidth="1"/>
    <col min="3587" max="3587" width="12.3984375" style="4" bestFit="1" customWidth="1"/>
    <col min="3588" max="3589" width="13.86328125" style="4" bestFit="1" customWidth="1"/>
    <col min="3590" max="3590" width="14.86328125" style="4" bestFit="1" customWidth="1"/>
    <col min="3591" max="3829" width="9.1328125" style="4"/>
    <col min="3830" max="3830" width="15.3984375" style="4" bestFit="1" customWidth="1"/>
    <col min="3831" max="3831" width="11.1328125" style="4" bestFit="1" customWidth="1"/>
    <col min="3832" max="3832" width="14.59765625" style="4" bestFit="1" customWidth="1"/>
    <col min="3833" max="3833" width="17.3984375" style="4" bestFit="1" customWidth="1"/>
    <col min="3834" max="3834" width="17.59765625" style="4" bestFit="1" customWidth="1"/>
    <col min="3835" max="3835" width="14.73046875" style="4" bestFit="1" customWidth="1"/>
    <col min="3836" max="3836" width="14.3984375" style="4" bestFit="1" customWidth="1"/>
    <col min="3837" max="3837" width="12.1328125" style="4" bestFit="1" customWidth="1"/>
    <col min="3838" max="3838" width="12.3984375" style="4" bestFit="1" customWidth="1"/>
    <col min="3839" max="3840" width="13.86328125" style="4" bestFit="1" customWidth="1"/>
    <col min="3841" max="3841" width="14.86328125" style="4" bestFit="1" customWidth="1"/>
    <col min="3842" max="3842" width="12.1328125" style="4" bestFit="1" customWidth="1"/>
    <col min="3843" max="3843" width="12.3984375" style="4" bestFit="1" customWidth="1"/>
    <col min="3844" max="3845" width="13.86328125" style="4" bestFit="1" customWidth="1"/>
    <col min="3846" max="3846" width="14.86328125" style="4" bestFit="1" customWidth="1"/>
    <col min="3847" max="4085" width="9.1328125" style="4"/>
    <col min="4086" max="4086" width="15.3984375" style="4" bestFit="1" customWidth="1"/>
    <col min="4087" max="4087" width="11.1328125" style="4" bestFit="1" customWidth="1"/>
    <col min="4088" max="4088" width="14.59765625" style="4" bestFit="1" customWidth="1"/>
    <col min="4089" max="4089" width="17.3984375" style="4" bestFit="1" customWidth="1"/>
    <col min="4090" max="4090" width="17.59765625" style="4" bestFit="1" customWidth="1"/>
    <col min="4091" max="4091" width="14.73046875" style="4" bestFit="1" customWidth="1"/>
    <col min="4092" max="4092" width="14.3984375" style="4" bestFit="1" customWidth="1"/>
    <col min="4093" max="4093" width="12.1328125" style="4" bestFit="1" customWidth="1"/>
    <col min="4094" max="4094" width="12.3984375" style="4" bestFit="1" customWidth="1"/>
    <col min="4095" max="4096" width="13.86328125" style="4" bestFit="1" customWidth="1"/>
    <col min="4097" max="4097" width="14.86328125" style="4" bestFit="1" customWidth="1"/>
    <col min="4098" max="4098" width="12.1328125" style="4" bestFit="1" customWidth="1"/>
    <col min="4099" max="4099" width="12.3984375" style="4" bestFit="1" customWidth="1"/>
    <col min="4100" max="4101" width="13.86328125" style="4" bestFit="1" customWidth="1"/>
    <col min="4102" max="4102" width="14.86328125" style="4" bestFit="1" customWidth="1"/>
    <col min="4103" max="4341" width="9.1328125" style="4"/>
    <col min="4342" max="4342" width="15.3984375" style="4" bestFit="1" customWidth="1"/>
    <col min="4343" max="4343" width="11.1328125" style="4" bestFit="1" customWidth="1"/>
    <col min="4344" max="4344" width="14.59765625" style="4" bestFit="1" customWidth="1"/>
    <col min="4345" max="4345" width="17.3984375" style="4" bestFit="1" customWidth="1"/>
    <col min="4346" max="4346" width="17.59765625" style="4" bestFit="1" customWidth="1"/>
    <col min="4347" max="4347" width="14.73046875" style="4" bestFit="1" customWidth="1"/>
    <col min="4348" max="4348" width="14.3984375" style="4" bestFit="1" customWidth="1"/>
    <col min="4349" max="4349" width="12.1328125" style="4" bestFit="1" customWidth="1"/>
    <col min="4350" max="4350" width="12.3984375" style="4" bestFit="1" customWidth="1"/>
    <col min="4351" max="4352" width="13.86328125" style="4" bestFit="1" customWidth="1"/>
    <col min="4353" max="4353" width="14.86328125" style="4" bestFit="1" customWidth="1"/>
    <col min="4354" max="4354" width="12.1328125" style="4" bestFit="1" customWidth="1"/>
    <col min="4355" max="4355" width="12.3984375" style="4" bestFit="1" customWidth="1"/>
    <col min="4356" max="4357" width="13.86328125" style="4" bestFit="1" customWidth="1"/>
    <col min="4358" max="4358" width="14.86328125" style="4" bestFit="1" customWidth="1"/>
    <col min="4359" max="4597" width="9.1328125" style="4"/>
    <col min="4598" max="4598" width="15.3984375" style="4" bestFit="1" customWidth="1"/>
    <col min="4599" max="4599" width="11.1328125" style="4" bestFit="1" customWidth="1"/>
    <col min="4600" max="4600" width="14.59765625" style="4" bestFit="1" customWidth="1"/>
    <col min="4601" max="4601" width="17.3984375" style="4" bestFit="1" customWidth="1"/>
    <col min="4602" max="4602" width="17.59765625" style="4" bestFit="1" customWidth="1"/>
    <col min="4603" max="4603" width="14.73046875" style="4" bestFit="1" customWidth="1"/>
    <col min="4604" max="4604" width="14.3984375" style="4" bestFit="1" customWidth="1"/>
    <col min="4605" max="4605" width="12.1328125" style="4" bestFit="1" customWidth="1"/>
    <col min="4606" max="4606" width="12.3984375" style="4" bestFit="1" customWidth="1"/>
    <col min="4607" max="4608" width="13.86328125" style="4" bestFit="1" customWidth="1"/>
    <col min="4609" max="4609" width="14.86328125" style="4" bestFit="1" customWidth="1"/>
    <col min="4610" max="4610" width="12.1328125" style="4" bestFit="1" customWidth="1"/>
    <col min="4611" max="4611" width="12.3984375" style="4" bestFit="1" customWidth="1"/>
    <col min="4612" max="4613" width="13.86328125" style="4" bestFit="1" customWidth="1"/>
    <col min="4614" max="4614" width="14.86328125" style="4" bestFit="1" customWidth="1"/>
    <col min="4615" max="4853" width="9.1328125" style="4"/>
    <col min="4854" max="4854" width="15.3984375" style="4" bestFit="1" customWidth="1"/>
    <col min="4855" max="4855" width="11.1328125" style="4" bestFit="1" customWidth="1"/>
    <col min="4856" max="4856" width="14.59765625" style="4" bestFit="1" customWidth="1"/>
    <col min="4857" max="4857" width="17.3984375" style="4" bestFit="1" customWidth="1"/>
    <col min="4858" max="4858" width="17.59765625" style="4" bestFit="1" customWidth="1"/>
    <col min="4859" max="4859" width="14.73046875" style="4" bestFit="1" customWidth="1"/>
    <col min="4860" max="4860" width="14.3984375" style="4" bestFit="1" customWidth="1"/>
    <col min="4861" max="4861" width="12.1328125" style="4" bestFit="1" customWidth="1"/>
    <col min="4862" max="4862" width="12.3984375" style="4" bestFit="1" customWidth="1"/>
    <col min="4863" max="4864" width="13.86328125" style="4" bestFit="1" customWidth="1"/>
    <col min="4865" max="4865" width="14.86328125" style="4" bestFit="1" customWidth="1"/>
    <col min="4866" max="4866" width="12.1328125" style="4" bestFit="1" customWidth="1"/>
    <col min="4867" max="4867" width="12.3984375" style="4" bestFit="1" customWidth="1"/>
    <col min="4868" max="4869" width="13.86328125" style="4" bestFit="1" customWidth="1"/>
    <col min="4870" max="4870" width="14.86328125" style="4" bestFit="1" customWidth="1"/>
    <col min="4871" max="5109" width="9.1328125" style="4"/>
    <col min="5110" max="5110" width="15.3984375" style="4" bestFit="1" customWidth="1"/>
    <col min="5111" max="5111" width="11.1328125" style="4" bestFit="1" customWidth="1"/>
    <col min="5112" max="5112" width="14.59765625" style="4" bestFit="1" customWidth="1"/>
    <col min="5113" max="5113" width="17.3984375" style="4" bestFit="1" customWidth="1"/>
    <col min="5114" max="5114" width="17.59765625" style="4" bestFit="1" customWidth="1"/>
    <col min="5115" max="5115" width="14.73046875" style="4" bestFit="1" customWidth="1"/>
    <col min="5116" max="5116" width="14.3984375" style="4" bestFit="1" customWidth="1"/>
    <col min="5117" max="5117" width="12.1328125" style="4" bestFit="1" customWidth="1"/>
    <col min="5118" max="5118" width="12.3984375" style="4" bestFit="1" customWidth="1"/>
    <col min="5119" max="5120" width="13.86328125" style="4" bestFit="1" customWidth="1"/>
    <col min="5121" max="5121" width="14.86328125" style="4" bestFit="1" customWidth="1"/>
    <col min="5122" max="5122" width="12.1328125" style="4" bestFit="1" customWidth="1"/>
    <col min="5123" max="5123" width="12.3984375" style="4" bestFit="1" customWidth="1"/>
    <col min="5124" max="5125" width="13.86328125" style="4" bestFit="1" customWidth="1"/>
    <col min="5126" max="5126" width="14.86328125" style="4" bestFit="1" customWidth="1"/>
    <col min="5127" max="5365" width="9.1328125" style="4"/>
    <col min="5366" max="5366" width="15.3984375" style="4" bestFit="1" customWidth="1"/>
    <col min="5367" max="5367" width="11.1328125" style="4" bestFit="1" customWidth="1"/>
    <col min="5368" max="5368" width="14.59765625" style="4" bestFit="1" customWidth="1"/>
    <col min="5369" max="5369" width="17.3984375" style="4" bestFit="1" customWidth="1"/>
    <col min="5370" max="5370" width="17.59765625" style="4" bestFit="1" customWidth="1"/>
    <col min="5371" max="5371" width="14.73046875" style="4" bestFit="1" customWidth="1"/>
    <col min="5372" max="5372" width="14.3984375" style="4" bestFit="1" customWidth="1"/>
    <col min="5373" max="5373" width="12.1328125" style="4" bestFit="1" customWidth="1"/>
    <col min="5374" max="5374" width="12.3984375" style="4" bestFit="1" customWidth="1"/>
    <col min="5375" max="5376" width="13.86328125" style="4" bestFit="1" customWidth="1"/>
    <col min="5377" max="5377" width="14.86328125" style="4" bestFit="1" customWidth="1"/>
    <col min="5378" max="5378" width="12.1328125" style="4" bestFit="1" customWidth="1"/>
    <col min="5379" max="5379" width="12.3984375" style="4" bestFit="1" customWidth="1"/>
    <col min="5380" max="5381" width="13.86328125" style="4" bestFit="1" customWidth="1"/>
    <col min="5382" max="5382" width="14.86328125" style="4" bestFit="1" customWidth="1"/>
    <col min="5383" max="5621" width="9.1328125" style="4"/>
    <col min="5622" max="5622" width="15.3984375" style="4" bestFit="1" customWidth="1"/>
    <col min="5623" max="5623" width="11.1328125" style="4" bestFit="1" customWidth="1"/>
    <col min="5624" max="5624" width="14.59765625" style="4" bestFit="1" customWidth="1"/>
    <col min="5625" max="5625" width="17.3984375" style="4" bestFit="1" customWidth="1"/>
    <col min="5626" max="5626" width="17.59765625" style="4" bestFit="1" customWidth="1"/>
    <col min="5627" max="5627" width="14.73046875" style="4" bestFit="1" customWidth="1"/>
    <col min="5628" max="5628" width="14.3984375" style="4" bestFit="1" customWidth="1"/>
    <col min="5629" max="5629" width="12.1328125" style="4" bestFit="1" customWidth="1"/>
    <col min="5630" max="5630" width="12.3984375" style="4" bestFit="1" customWidth="1"/>
    <col min="5631" max="5632" width="13.86328125" style="4" bestFit="1" customWidth="1"/>
    <col min="5633" max="5633" width="14.86328125" style="4" bestFit="1" customWidth="1"/>
    <col min="5634" max="5634" width="12.1328125" style="4" bestFit="1" customWidth="1"/>
    <col min="5635" max="5635" width="12.3984375" style="4" bestFit="1" customWidth="1"/>
    <col min="5636" max="5637" width="13.86328125" style="4" bestFit="1" customWidth="1"/>
    <col min="5638" max="5638" width="14.86328125" style="4" bestFit="1" customWidth="1"/>
    <col min="5639" max="5877" width="9.1328125" style="4"/>
    <col min="5878" max="5878" width="15.3984375" style="4" bestFit="1" customWidth="1"/>
    <col min="5879" max="5879" width="11.1328125" style="4" bestFit="1" customWidth="1"/>
    <col min="5880" max="5880" width="14.59765625" style="4" bestFit="1" customWidth="1"/>
    <col min="5881" max="5881" width="17.3984375" style="4" bestFit="1" customWidth="1"/>
    <col min="5882" max="5882" width="17.59765625" style="4" bestFit="1" customWidth="1"/>
    <col min="5883" max="5883" width="14.73046875" style="4" bestFit="1" customWidth="1"/>
    <col min="5884" max="5884" width="14.3984375" style="4" bestFit="1" customWidth="1"/>
    <col min="5885" max="5885" width="12.1328125" style="4" bestFit="1" customWidth="1"/>
    <col min="5886" max="5886" width="12.3984375" style="4" bestFit="1" customWidth="1"/>
    <col min="5887" max="5888" width="13.86328125" style="4" bestFit="1" customWidth="1"/>
    <col min="5889" max="5889" width="14.86328125" style="4" bestFit="1" customWidth="1"/>
    <col min="5890" max="5890" width="12.1328125" style="4" bestFit="1" customWidth="1"/>
    <col min="5891" max="5891" width="12.3984375" style="4" bestFit="1" customWidth="1"/>
    <col min="5892" max="5893" width="13.86328125" style="4" bestFit="1" customWidth="1"/>
    <col min="5894" max="5894" width="14.86328125" style="4" bestFit="1" customWidth="1"/>
    <col min="5895" max="6133" width="9.1328125" style="4"/>
    <col min="6134" max="6134" width="15.3984375" style="4" bestFit="1" customWidth="1"/>
    <col min="6135" max="6135" width="11.1328125" style="4" bestFit="1" customWidth="1"/>
    <col min="6136" max="6136" width="14.59765625" style="4" bestFit="1" customWidth="1"/>
    <col min="6137" max="6137" width="17.3984375" style="4" bestFit="1" customWidth="1"/>
    <col min="6138" max="6138" width="17.59765625" style="4" bestFit="1" customWidth="1"/>
    <col min="6139" max="6139" width="14.73046875" style="4" bestFit="1" customWidth="1"/>
    <col min="6140" max="6140" width="14.3984375" style="4" bestFit="1" customWidth="1"/>
    <col min="6141" max="6141" width="12.1328125" style="4" bestFit="1" customWidth="1"/>
    <col min="6142" max="6142" width="12.3984375" style="4" bestFit="1" customWidth="1"/>
    <col min="6143" max="6144" width="13.86328125" style="4" bestFit="1" customWidth="1"/>
    <col min="6145" max="6145" width="14.86328125" style="4" bestFit="1" customWidth="1"/>
    <col min="6146" max="6146" width="12.1328125" style="4" bestFit="1" customWidth="1"/>
    <col min="6147" max="6147" width="12.3984375" style="4" bestFit="1" customWidth="1"/>
    <col min="6148" max="6149" width="13.86328125" style="4" bestFit="1" customWidth="1"/>
    <col min="6150" max="6150" width="14.86328125" style="4" bestFit="1" customWidth="1"/>
    <col min="6151" max="6389" width="9.1328125" style="4"/>
    <col min="6390" max="6390" width="15.3984375" style="4" bestFit="1" customWidth="1"/>
    <col min="6391" max="6391" width="11.1328125" style="4" bestFit="1" customWidth="1"/>
    <col min="6392" max="6392" width="14.59765625" style="4" bestFit="1" customWidth="1"/>
    <col min="6393" max="6393" width="17.3984375" style="4" bestFit="1" customWidth="1"/>
    <col min="6394" max="6394" width="17.59765625" style="4" bestFit="1" customWidth="1"/>
    <col min="6395" max="6395" width="14.73046875" style="4" bestFit="1" customWidth="1"/>
    <col min="6396" max="6396" width="14.3984375" style="4" bestFit="1" customWidth="1"/>
    <col min="6397" max="6397" width="12.1328125" style="4" bestFit="1" customWidth="1"/>
    <col min="6398" max="6398" width="12.3984375" style="4" bestFit="1" customWidth="1"/>
    <col min="6399" max="6400" width="13.86328125" style="4" bestFit="1" customWidth="1"/>
    <col min="6401" max="6401" width="14.86328125" style="4" bestFit="1" customWidth="1"/>
    <col min="6402" max="6402" width="12.1328125" style="4" bestFit="1" customWidth="1"/>
    <col min="6403" max="6403" width="12.3984375" style="4" bestFit="1" customWidth="1"/>
    <col min="6404" max="6405" width="13.86328125" style="4" bestFit="1" customWidth="1"/>
    <col min="6406" max="6406" width="14.86328125" style="4" bestFit="1" customWidth="1"/>
    <col min="6407" max="6645" width="9.1328125" style="4"/>
    <col min="6646" max="6646" width="15.3984375" style="4" bestFit="1" customWidth="1"/>
    <col min="6647" max="6647" width="11.1328125" style="4" bestFit="1" customWidth="1"/>
    <col min="6648" max="6648" width="14.59765625" style="4" bestFit="1" customWidth="1"/>
    <col min="6649" max="6649" width="17.3984375" style="4" bestFit="1" customWidth="1"/>
    <col min="6650" max="6650" width="17.59765625" style="4" bestFit="1" customWidth="1"/>
    <col min="6651" max="6651" width="14.73046875" style="4" bestFit="1" customWidth="1"/>
    <col min="6652" max="6652" width="14.3984375" style="4" bestFit="1" customWidth="1"/>
    <col min="6653" max="6653" width="12.1328125" style="4" bestFit="1" customWidth="1"/>
    <col min="6654" max="6654" width="12.3984375" style="4" bestFit="1" customWidth="1"/>
    <col min="6655" max="6656" width="13.86328125" style="4" bestFit="1" customWidth="1"/>
    <col min="6657" max="6657" width="14.86328125" style="4" bestFit="1" customWidth="1"/>
    <col min="6658" max="6658" width="12.1328125" style="4" bestFit="1" customWidth="1"/>
    <col min="6659" max="6659" width="12.3984375" style="4" bestFit="1" customWidth="1"/>
    <col min="6660" max="6661" width="13.86328125" style="4" bestFit="1" customWidth="1"/>
    <col min="6662" max="6662" width="14.86328125" style="4" bestFit="1" customWidth="1"/>
    <col min="6663" max="6901" width="9.1328125" style="4"/>
    <col min="6902" max="6902" width="15.3984375" style="4" bestFit="1" customWidth="1"/>
    <col min="6903" max="6903" width="11.1328125" style="4" bestFit="1" customWidth="1"/>
    <col min="6904" max="6904" width="14.59765625" style="4" bestFit="1" customWidth="1"/>
    <col min="6905" max="6905" width="17.3984375" style="4" bestFit="1" customWidth="1"/>
    <col min="6906" max="6906" width="17.59765625" style="4" bestFit="1" customWidth="1"/>
    <col min="6907" max="6907" width="14.73046875" style="4" bestFit="1" customWidth="1"/>
    <col min="6908" max="6908" width="14.3984375" style="4" bestFit="1" customWidth="1"/>
    <col min="6909" max="6909" width="12.1328125" style="4" bestFit="1" customWidth="1"/>
    <col min="6910" max="6910" width="12.3984375" style="4" bestFit="1" customWidth="1"/>
    <col min="6911" max="6912" width="13.86328125" style="4" bestFit="1" customWidth="1"/>
    <col min="6913" max="6913" width="14.86328125" style="4" bestFit="1" customWidth="1"/>
    <col min="6914" max="6914" width="12.1328125" style="4" bestFit="1" customWidth="1"/>
    <col min="6915" max="6915" width="12.3984375" style="4" bestFit="1" customWidth="1"/>
    <col min="6916" max="6917" width="13.86328125" style="4" bestFit="1" customWidth="1"/>
    <col min="6918" max="6918" width="14.86328125" style="4" bestFit="1" customWidth="1"/>
    <col min="6919" max="7157" width="9.1328125" style="4"/>
    <col min="7158" max="7158" width="15.3984375" style="4" bestFit="1" customWidth="1"/>
    <col min="7159" max="7159" width="11.1328125" style="4" bestFit="1" customWidth="1"/>
    <col min="7160" max="7160" width="14.59765625" style="4" bestFit="1" customWidth="1"/>
    <col min="7161" max="7161" width="17.3984375" style="4" bestFit="1" customWidth="1"/>
    <col min="7162" max="7162" width="17.59765625" style="4" bestFit="1" customWidth="1"/>
    <col min="7163" max="7163" width="14.73046875" style="4" bestFit="1" customWidth="1"/>
    <col min="7164" max="7164" width="14.3984375" style="4" bestFit="1" customWidth="1"/>
    <col min="7165" max="7165" width="12.1328125" style="4" bestFit="1" customWidth="1"/>
    <col min="7166" max="7166" width="12.3984375" style="4" bestFit="1" customWidth="1"/>
    <col min="7167" max="7168" width="13.86328125" style="4" bestFit="1" customWidth="1"/>
    <col min="7169" max="7169" width="14.86328125" style="4" bestFit="1" customWidth="1"/>
    <col min="7170" max="7170" width="12.1328125" style="4" bestFit="1" customWidth="1"/>
    <col min="7171" max="7171" width="12.3984375" style="4" bestFit="1" customWidth="1"/>
    <col min="7172" max="7173" width="13.86328125" style="4" bestFit="1" customWidth="1"/>
    <col min="7174" max="7174" width="14.86328125" style="4" bestFit="1" customWidth="1"/>
    <col min="7175" max="7413" width="9.1328125" style="4"/>
    <col min="7414" max="7414" width="15.3984375" style="4" bestFit="1" customWidth="1"/>
    <col min="7415" max="7415" width="11.1328125" style="4" bestFit="1" customWidth="1"/>
    <col min="7416" max="7416" width="14.59765625" style="4" bestFit="1" customWidth="1"/>
    <col min="7417" max="7417" width="17.3984375" style="4" bestFit="1" customWidth="1"/>
    <col min="7418" max="7418" width="17.59765625" style="4" bestFit="1" customWidth="1"/>
    <col min="7419" max="7419" width="14.73046875" style="4" bestFit="1" customWidth="1"/>
    <col min="7420" max="7420" width="14.3984375" style="4" bestFit="1" customWidth="1"/>
    <col min="7421" max="7421" width="12.1328125" style="4" bestFit="1" customWidth="1"/>
    <col min="7422" max="7422" width="12.3984375" style="4" bestFit="1" customWidth="1"/>
    <col min="7423" max="7424" width="13.86328125" style="4" bestFit="1" customWidth="1"/>
    <col min="7425" max="7425" width="14.86328125" style="4" bestFit="1" customWidth="1"/>
    <col min="7426" max="7426" width="12.1328125" style="4" bestFit="1" customWidth="1"/>
    <col min="7427" max="7427" width="12.3984375" style="4" bestFit="1" customWidth="1"/>
    <col min="7428" max="7429" width="13.86328125" style="4" bestFit="1" customWidth="1"/>
    <col min="7430" max="7430" width="14.86328125" style="4" bestFit="1" customWidth="1"/>
    <col min="7431" max="7669" width="9.1328125" style="4"/>
    <col min="7670" max="7670" width="15.3984375" style="4" bestFit="1" customWidth="1"/>
    <col min="7671" max="7671" width="11.1328125" style="4" bestFit="1" customWidth="1"/>
    <col min="7672" max="7672" width="14.59765625" style="4" bestFit="1" customWidth="1"/>
    <col min="7673" max="7673" width="17.3984375" style="4" bestFit="1" customWidth="1"/>
    <col min="7674" max="7674" width="17.59765625" style="4" bestFit="1" customWidth="1"/>
    <col min="7675" max="7675" width="14.73046875" style="4" bestFit="1" customWidth="1"/>
    <col min="7676" max="7676" width="14.3984375" style="4" bestFit="1" customWidth="1"/>
    <col min="7677" max="7677" width="12.1328125" style="4" bestFit="1" customWidth="1"/>
    <col min="7678" max="7678" width="12.3984375" style="4" bestFit="1" customWidth="1"/>
    <col min="7679" max="7680" width="13.86328125" style="4" bestFit="1" customWidth="1"/>
    <col min="7681" max="7681" width="14.86328125" style="4" bestFit="1" customWidth="1"/>
    <col min="7682" max="7682" width="12.1328125" style="4" bestFit="1" customWidth="1"/>
    <col min="7683" max="7683" width="12.3984375" style="4" bestFit="1" customWidth="1"/>
    <col min="7684" max="7685" width="13.86328125" style="4" bestFit="1" customWidth="1"/>
    <col min="7686" max="7686" width="14.86328125" style="4" bestFit="1" customWidth="1"/>
    <col min="7687" max="7925" width="9.1328125" style="4"/>
    <col min="7926" max="7926" width="15.3984375" style="4" bestFit="1" customWidth="1"/>
    <col min="7927" max="7927" width="11.1328125" style="4" bestFit="1" customWidth="1"/>
    <col min="7928" max="7928" width="14.59765625" style="4" bestFit="1" customWidth="1"/>
    <col min="7929" max="7929" width="17.3984375" style="4" bestFit="1" customWidth="1"/>
    <col min="7930" max="7930" width="17.59765625" style="4" bestFit="1" customWidth="1"/>
    <col min="7931" max="7931" width="14.73046875" style="4" bestFit="1" customWidth="1"/>
    <col min="7932" max="7932" width="14.3984375" style="4" bestFit="1" customWidth="1"/>
    <col min="7933" max="7933" width="12.1328125" style="4" bestFit="1" customWidth="1"/>
    <col min="7934" max="7934" width="12.3984375" style="4" bestFit="1" customWidth="1"/>
    <col min="7935" max="7936" width="13.86328125" style="4" bestFit="1" customWidth="1"/>
    <col min="7937" max="7937" width="14.86328125" style="4" bestFit="1" customWidth="1"/>
    <col min="7938" max="7938" width="12.1328125" style="4" bestFit="1" customWidth="1"/>
    <col min="7939" max="7939" width="12.3984375" style="4" bestFit="1" customWidth="1"/>
    <col min="7940" max="7941" width="13.86328125" style="4" bestFit="1" customWidth="1"/>
    <col min="7942" max="7942" width="14.86328125" style="4" bestFit="1" customWidth="1"/>
    <col min="7943" max="8181" width="9.1328125" style="4"/>
    <col min="8182" max="8182" width="15.3984375" style="4" bestFit="1" customWidth="1"/>
    <col min="8183" max="8183" width="11.1328125" style="4" bestFit="1" customWidth="1"/>
    <col min="8184" max="8184" width="14.59765625" style="4" bestFit="1" customWidth="1"/>
    <col min="8185" max="8185" width="17.3984375" style="4" bestFit="1" customWidth="1"/>
    <col min="8186" max="8186" width="17.59765625" style="4" bestFit="1" customWidth="1"/>
    <col min="8187" max="8187" width="14.73046875" style="4" bestFit="1" customWidth="1"/>
    <col min="8188" max="8188" width="14.3984375" style="4" bestFit="1" customWidth="1"/>
    <col min="8189" max="8189" width="12.1328125" style="4" bestFit="1" customWidth="1"/>
    <col min="8190" max="8190" width="12.3984375" style="4" bestFit="1" customWidth="1"/>
    <col min="8191" max="8192" width="13.86328125" style="4" bestFit="1" customWidth="1"/>
    <col min="8193" max="8193" width="14.86328125" style="4" bestFit="1" customWidth="1"/>
    <col min="8194" max="8194" width="12.1328125" style="4" bestFit="1" customWidth="1"/>
    <col min="8195" max="8195" width="12.3984375" style="4" bestFit="1" customWidth="1"/>
    <col min="8196" max="8197" width="13.86328125" style="4" bestFit="1" customWidth="1"/>
    <col min="8198" max="8198" width="14.86328125" style="4" bestFit="1" customWidth="1"/>
    <col min="8199" max="8437" width="9.1328125" style="4"/>
    <col min="8438" max="8438" width="15.3984375" style="4" bestFit="1" customWidth="1"/>
    <col min="8439" max="8439" width="11.1328125" style="4" bestFit="1" customWidth="1"/>
    <col min="8440" max="8440" width="14.59765625" style="4" bestFit="1" customWidth="1"/>
    <col min="8441" max="8441" width="17.3984375" style="4" bestFit="1" customWidth="1"/>
    <col min="8442" max="8442" width="17.59765625" style="4" bestFit="1" customWidth="1"/>
    <col min="8443" max="8443" width="14.73046875" style="4" bestFit="1" customWidth="1"/>
    <col min="8444" max="8444" width="14.3984375" style="4" bestFit="1" customWidth="1"/>
    <col min="8445" max="8445" width="12.1328125" style="4" bestFit="1" customWidth="1"/>
    <col min="8446" max="8446" width="12.3984375" style="4" bestFit="1" customWidth="1"/>
    <col min="8447" max="8448" width="13.86328125" style="4" bestFit="1" customWidth="1"/>
    <col min="8449" max="8449" width="14.86328125" style="4" bestFit="1" customWidth="1"/>
    <col min="8450" max="8450" width="12.1328125" style="4" bestFit="1" customWidth="1"/>
    <col min="8451" max="8451" width="12.3984375" style="4" bestFit="1" customWidth="1"/>
    <col min="8452" max="8453" width="13.86328125" style="4" bestFit="1" customWidth="1"/>
    <col min="8454" max="8454" width="14.86328125" style="4" bestFit="1" customWidth="1"/>
    <col min="8455" max="8693" width="9.1328125" style="4"/>
    <col min="8694" max="8694" width="15.3984375" style="4" bestFit="1" customWidth="1"/>
    <col min="8695" max="8695" width="11.1328125" style="4" bestFit="1" customWidth="1"/>
    <col min="8696" max="8696" width="14.59765625" style="4" bestFit="1" customWidth="1"/>
    <col min="8697" max="8697" width="17.3984375" style="4" bestFit="1" customWidth="1"/>
    <col min="8698" max="8698" width="17.59765625" style="4" bestFit="1" customWidth="1"/>
    <col min="8699" max="8699" width="14.73046875" style="4" bestFit="1" customWidth="1"/>
    <col min="8700" max="8700" width="14.3984375" style="4" bestFit="1" customWidth="1"/>
    <col min="8701" max="8701" width="12.1328125" style="4" bestFit="1" customWidth="1"/>
    <col min="8702" max="8702" width="12.3984375" style="4" bestFit="1" customWidth="1"/>
    <col min="8703" max="8704" width="13.86328125" style="4" bestFit="1" customWidth="1"/>
    <col min="8705" max="8705" width="14.86328125" style="4" bestFit="1" customWidth="1"/>
    <col min="8706" max="8706" width="12.1328125" style="4" bestFit="1" customWidth="1"/>
    <col min="8707" max="8707" width="12.3984375" style="4" bestFit="1" customWidth="1"/>
    <col min="8708" max="8709" width="13.86328125" style="4" bestFit="1" customWidth="1"/>
    <col min="8710" max="8710" width="14.86328125" style="4" bestFit="1" customWidth="1"/>
    <col min="8711" max="8949" width="9.1328125" style="4"/>
    <col min="8950" max="8950" width="15.3984375" style="4" bestFit="1" customWidth="1"/>
    <col min="8951" max="8951" width="11.1328125" style="4" bestFit="1" customWidth="1"/>
    <col min="8952" max="8952" width="14.59765625" style="4" bestFit="1" customWidth="1"/>
    <col min="8953" max="8953" width="17.3984375" style="4" bestFit="1" customWidth="1"/>
    <col min="8954" max="8954" width="17.59765625" style="4" bestFit="1" customWidth="1"/>
    <col min="8955" max="8955" width="14.73046875" style="4" bestFit="1" customWidth="1"/>
    <col min="8956" max="8956" width="14.3984375" style="4" bestFit="1" customWidth="1"/>
    <col min="8957" max="8957" width="12.1328125" style="4" bestFit="1" customWidth="1"/>
    <col min="8958" max="8958" width="12.3984375" style="4" bestFit="1" customWidth="1"/>
    <col min="8959" max="8960" width="13.86328125" style="4" bestFit="1" customWidth="1"/>
    <col min="8961" max="8961" width="14.86328125" style="4" bestFit="1" customWidth="1"/>
    <col min="8962" max="8962" width="12.1328125" style="4" bestFit="1" customWidth="1"/>
    <col min="8963" max="8963" width="12.3984375" style="4" bestFit="1" customWidth="1"/>
    <col min="8964" max="8965" width="13.86328125" style="4" bestFit="1" customWidth="1"/>
    <col min="8966" max="8966" width="14.86328125" style="4" bestFit="1" customWidth="1"/>
    <col min="8967" max="9205" width="9.1328125" style="4"/>
    <col min="9206" max="9206" width="15.3984375" style="4" bestFit="1" customWidth="1"/>
    <col min="9207" max="9207" width="11.1328125" style="4" bestFit="1" customWidth="1"/>
    <col min="9208" max="9208" width="14.59765625" style="4" bestFit="1" customWidth="1"/>
    <col min="9209" max="9209" width="17.3984375" style="4" bestFit="1" customWidth="1"/>
    <col min="9210" max="9210" width="17.59765625" style="4" bestFit="1" customWidth="1"/>
    <col min="9211" max="9211" width="14.73046875" style="4" bestFit="1" customWidth="1"/>
    <col min="9212" max="9212" width="14.3984375" style="4" bestFit="1" customWidth="1"/>
    <col min="9213" max="9213" width="12.1328125" style="4" bestFit="1" customWidth="1"/>
    <col min="9214" max="9214" width="12.3984375" style="4" bestFit="1" customWidth="1"/>
    <col min="9215" max="9216" width="13.86328125" style="4" bestFit="1" customWidth="1"/>
    <col min="9217" max="9217" width="14.86328125" style="4" bestFit="1" customWidth="1"/>
    <col min="9218" max="9218" width="12.1328125" style="4" bestFit="1" customWidth="1"/>
    <col min="9219" max="9219" width="12.3984375" style="4" bestFit="1" customWidth="1"/>
    <col min="9220" max="9221" width="13.86328125" style="4" bestFit="1" customWidth="1"/>
    <col min="9222" max="9222" width="14.86328125" style="4" bestFit="1" customWidth="1"/>
    <col min="9223" max="9461" width="9.1328125" style="4"/>
    <col min="9462" max="9462" width="15.3984375" style="4" bestFit="1" customWidth="1"/>
    <col min="9463" max="9463" width="11.1328125" style="4" bestFit="1" customWidth="1"/>
    <col min="9464" max="9464" width="14.59765625" style="4" bestFit="1" customWidth="1"/>
    <col min="9465" max="9465" width="17.3984375" style="4" bestFit="1" customWidth="1"/>
    <col min="9466" max="9466" width="17.59765625" style="4" bestFit="1" customWidth="1"/>
    <col min="9467" max="9467" width="14.73046875" style="4" bestFit="1" customWidth="1"/>
    <col min="9468" max="9468" width="14.3984375" style="4" bestFit="1" customWidth="1"/>
    <col min="9469" max="9469" width="12.1328125" style="4" bestFit="1" customWidth="1"/>
    <col min="9470" max="9470" width="12.3984375" style="4" bestFit="1" customWidth="1"/>
    <col min="9471" max="9472" width="13.86328125" style="4" bestFit="1" customWidth="1"/>
    <col min="9473" max="9473" width="14.86328125" style="4" bestFit="1" customWidth="1"/>
    <col min="9474" max="9474" width="12.1328125" style="4" bestFit="1" customWidth="1"/>
    <col min="9475" max="9475" width="12.3984375" style="4" bestFit="1" customWidth="1"/>
    <col min="9476" max="9477" width="13.86328125" style="4" bestFit="1" customWidth="1"/>
    <col min="9478" max="9478" width="14.86328125" style="4" bestFit="1" customWidth="1"/>
    <col min="9479" max="9717" width="9.1328125" style="4"/>
    <col min="9718" max="9718" width="15.3984375" style="4" bestFit="1" customWidth="1"/>
    <col min="9719" max="9719" width="11.1328125" style="4" bestFit="1" customWidth="1"/>
    <col min="9720" max="9720" width="14.59765625" style="4" bestFit="1" customWidth="1"/>
    <col min="9721" max="9721" width="17.3984375" style="4" bestFit="1" customWidth="1"/>
    <col min="9722" max="9722" width="17.59765625" style="4" bestFit="1" customWidth="1"/>
    <col min="9723" max="9723" width="14.73046875" style="4" bestFit="1" customWidth="1"/>
    <col min="9724" max="9724" width="14.3984375" style="4" bestFit="1" customWidth="1"/>
    <col min="9725" max="9725" width="12.1328125" style="4" bestFit="1" customWidth="1"/>
    <col min="9726" max="9726" width="12.3984375" style="4" bestFit="1" customWidth="1"/>
    <col min="9727" max="9728" width="13.86328125" style="4" bestFit="1" customWidth="1"/>
    <col min="9729" max="9729" width="14.86328125" style="4" bestFit="1" customWidth="1"/>
    <col min="9730" max="9730" width="12.1328125" style="4" bestFit="1" customWidth="1"/>
    <col min="9731" max="9731" width="12.3984375" style="4" bestFit="1" customWidth="1"/>
    <col min="9732" max="9733" width="13.86328125" style="4" bestFit="1" customWidth="1"/>
    <col min="9734" max="9734" width="14.86328125" style="4" bestFit="1" customWidth="1"/>
    <col min="9735" max="9973" width="9.1328125" style="4"/>
    <col min="9974" max="9974" width="15.3984375" style="4" bestFit="1" customWidth="1"/>
    <col min="9975" max="9975" width="11.1328125" style="4" bestFit="1" customWidth="1"/>
    <col min="9976" max="9976" width="14.59765625" style="4" bestFit="1" customWidth="1"/>
    <col min="9977" max="9977" width="17.3984375" style="4" bestFit="1" customWidth="1"/>
    <col min="9978" max="9978" width="17.59765625" style="4" bestFit="1" customWidth="1"/>
    <col min="9979" max="9979" width="14.73046875" style="4" bestFit="1" customWidth="1"/>
    <col min="9980" max="9980" width="14.3984375" style="4" bestFit="1" customWidth="1"/>
    <col min="9981" max="9981" width="12.1328125" style="4" bestFit="1" customWidth="1"/>
    <col min="9982" max="9982" width="12.3984375" style="4" bestFit="1" customWidth="1"/>
    <col min="9983" max="9984" width="13.86328125" style="4" bestFit="1" customWidth="1"/>
    <col min="9985" max="9985" width="14.86328125" style="4" bestFit="1" customWidth="1"/>
    <col min="9986" max="9986" width="12.1328125" style="4" bestFit="1" customWidth="1"/>
    <col min="9987" max="9987" width="12.3984375" style="4" bestFit="1" customWidth="1"/>
    <col min="9988" max="9989" width="13.86328125" style="4" bestFit="1" customWidth="1"/>
    <col min="9990" max="9990" width="14.86328125" style="4" bestFit="1" customWidth="1"/>
    <col min="9991" max="10229" width="9.1328125" style="4"/>
    <col min="10230" max="10230" width="15.3984375" style="4" bestFit="1" customWidth="1"/>
    <col min="10231" max="10231" width="11.1328125" style="4" bestFit="1" customWidth="1"/>
    <col min="10232" max="10232" width="14.59765625" style="4" bestFit="1" customWidth="1"/>
    <col min="10233" max="10233" width="17.3984375" style="4" bestFit="1" customWidth="1"/>
    <col min="10234" max="10234" width="17.59765625" style="4" bestFit="1" customWidth="1"/>
    <col min="10235" max="10235" width="14.73046875" style="4" bestFit="1" customWidth="1"/>
    <col min="10236" max="10236" width="14.3984375" style="4" bestFit="1" customWidth="1"/>
    <col min="10237" max="10237" width="12.1328125" style="4" bestFit="1" customWidth="1"/>
    <col min="10238" max="10238" width="12.3984375" style="4" bestFit="1" customWidth="1"/>
    <col min="10239" max="10240" width="13.86328125" style="4" bestFit="1" customWidth="1"/>
    <col min="10241" max="10241" width="14.86328125" style="4" bestFit="1" customWidth="1"/>
    <col min="10242" max="10242" width="12.1328125" style="4" bestFit="1" customWidth="1"/>
    <col min="10243" max="10243" width="12.3984375" style="4" bestFit="1" customWidth="1"/>
    <col min="10244" max="10245" width="13.86328125" style="4" bestFit="1" customWidth="1"/>
    <col min="10246" max="10246" width="14.86328125" style="4" bestFit="1" customWidth="1"/>
    <col min="10247" max="10485" width="9.1328125" style="4"/>
    <col min="10486" max="10486" width="15.3984375" style="4" bestFit="1" customWidth="1"/>
    <col min="10487" max="10487" width="11.1328125" style="4" bestFit="1" customWidth="1"/>
    <col min="10488" max="10488" width="14.59765625" style="4" bestFit="1" customWidth="1"/>
    <col min="10489" max="10489" width="17.3984375" style="4" bestFit="1" customWidth="1"/>
    <col min="10490" max="10490" width="17.59765625" style="4" bestFit="1" customWidth="1"/>
    <col min="10491" max="10491" width="14.73046875" style="4" bestFit="1" customWidth="1"/>
    <col min="10492" max="10492" width="14.3984375" style="4" bestFit="1" customWidth="1"/>
    <col min="10493" max="10493" width="12.1328125" style="4" bestFit="1" customWidth="1"/>
    <col min="10494" max="10494" width="12.3984375" style="4" bestFit="1" customWidth="1"/>
    <col min="10495" max="10496" width="13.86328125" style="4" bestFit="1" customWidth="1"/>
    <col min="10497" max="10497" width="14.86328125" style="4" bestFit="1" customWidth="1"/>
    <col min="10498" max="10498" width="12.1328125" style="4" bestFit="1" customWidth="1"/>
    <col min="10499" max="10499" width="12.3984375" style="4" bestFit="1" customWidth="1"/>
    <col min="10500" max="10501" width="13.86328125" style="4" bestFit="1" customWidth="1"/>
    <col min="10502" max="10502" width="14.86328125" style="4" bestFit="1" customWidth="1"/>
    <col min="10503" max="10741" width="9.1328125" style="4"/>
    <col min="10742" max="10742" width="15.3984375" style="4" bestFit="1" customWidth="1"/>
    <col min="10743" max="10743" width="11.1328125" style="4" bestFit="1" customWidth="1"/>
    <col min="10744" max="10744" width="14.59765625" style="4" bestFit="1" customWidth="1"/>
    <col min="10745" max="10745" width="17.3984375" style="4" bestFit="1" customWidth="1"/>
    <col min="10746" max="10746" width="17.59765625" style="4" bestFit="1" customWidth="1"/>
    <col min="10747" max="10747" width="14.73046875" style="4" bestFit="1" customWidth="1"/>
    <col min="10748" max="10748" width="14.3984375" style="4" bestFit="1" customWidth="1"/>
    <col min="10749" max="10749" width="12.1328125" style="4" bestFit="1" customWidth="1"/>
    <col min="10750" max="10750" width="12.3984375" style="4" bestFit="1" customWidth="1"/>
    <col min="10751" max="10752" width="13.86328125" style="4" bestFit="1" customWidth="1"/>
    <col min="10753" max="10753" width="14.86328125" style="4" bestFit="1" customWidth="1"/>
    <col min="10754" max="10754" width="12.1328125" style="4" bestFit="1" customWidth="1"/>
    <col min="10755" max="10755" width="12.3984375" style="4" bestFit="1" customWidth="1"/>
    <col min="10756" max="10757" width="13.86328125" style="4" bestFit="1" customWidth="1"/>
    <col min="10758" max="10758" width="14.86328125" style="4" bestFit="1" customWidth="1"/>
    <col min="10759" max="10997" width="9.1328125" style="4"/>
    <col min="10998" max="10998" width="15.3984375" style="4" bestFit="1" customWidth="1"/>
    <col min="10999" max="10999" width="11.1328125" style="4" bestFit="1" customWidth="1"/>
    <col min="11000" max="11000" width="14.59765625" style="4" bestFit="1" customWidth="1"/>
    <col min="11001" max="11001" width="17.3984375" style="4" bestFit="1" customWidth="1"/>
    <col min="11002" max="11002" width="17.59765625" style="4" bestFit="1" customWidth="1"/>
    <col min="11003" max="11003" width="14.73046875" style="4" bestFit="1" customWidth="1"/>
    <col min="11004" max="11004" width="14.3984375" style="4" bestFit="1" customWidth="1"/>
    <col min="11005" max="11005" width="12.1328125" style="4" bestFit="1" customWidth="1"/>
    <col min="11006" max="11006" width="12.3984375" style="4" bestFit="1" customWidth="1"/>
    <col min="11007" max="11008" width="13.86328125" style="4" bestFit="1" customWidth="1"/>
    <col min="11009" max="11009" width="14.86328125" style="4" bestFit="1" customWidth="1"/>
    <col min="11010" max="11010" width="12.1328125" style="4" bestFit="1" customWidth="1"/>
    <col min="11011" max="11011" width="12.3984375" style="4" bestFit="1" customWidth="1"/>
    <col min="11012" max="11013" width="13.86328125" style="4" bestFit="1" customWidth="1"/>
    <col min="11014" max="11014" width="14.86328125" style="4" bestFit="1" customWidth="1"/>
    <col min="11015" max="11253" width="9.1328125" style="4"/>
    <col min="11254" max="11254" width="15.3984375" style="4" bestFit="1" customWidth="1"/>
    <col min="11255" max="11255" width="11.1328125" style="4" bestFit="1" customWidth="1"/>
    <col min="11256" max="11256" width="14.59765625" style="4" bestFit="1" customWidth="1"/>
    <col min="11257" max="11257" width="17.3984375" style="4" bestFit="1" customWidth="1"/>
    <col min="11258" max="11258" width="17.59765625" style="4" bestFit="1" customWidth="1"/>
    <col min="11259" max="11259" width="14.73046875" style="4" bestFit="1" customWidth="1"/>
    <col min="11260" max="11260" width="14.3984375" style="4" bestFit="1" customWidth="1"/>
    <col min="11261" max="11261" width="12.1328125" style="4" bestFit="1" customWidth="1"/>
    <col min="11262" max="11262" width="12.3984375" style="4" bestFit="1" customWidth="1"/>
    <col min="11263" max="11264" width="13.86328125" style="4" bestFit="1" customWidth="1"/>
    <col min="11265" max="11265" width="14.86328125" style="4" bestFit="1" customWidth="1"/>
    <col min="11266" max="11266" width="12.1328125" style="4" bestFit="1" customWidth="1"/>
    <col min="11267" max="11267" width="12.3984375" style="4" bestFit="1" customWidth="1"/>
    <col min="11268" max="11269" width="13.86328125" style="4" bestFit="1" customWidth="1"/>
    <col min="11270" max="11270" width="14.86328125" style="4" bestFit="1" customWidth="1"/>
    <col min="11271" max="11509" width="9.1328125" style="4"/>
    <col min="11510" max="11510" width="15.3984375" style="4" bestFit="1" customWidth="1"/>
    <col min="11511" max="11511" width="11.1328125" style="4" bestFit="1" customWidth="1"/>
    <col min="11512" max="11512" width="14.59765625" style="4" bestFit="1" customWidth="1"/>
    <col min="11513" max="11513" width="17.3984375" style="4" bestFit="1" customWidth="1"/>
    <col min="11514" max="11514" width="17.59765625" style="4" bestFit="1" customWidth="1"/>
    <col min="11515" max="11515" width="14.73046875" style="4" bestFit="1" customWidth="1"/>
    <col min="11516" max="11516" width="14.3984375" style="4" bestFit="1" customWidth="1"/>
    <col min="11517" max="11517" width="12.1328125" style="4" bestFit="1" customWidth="1"/>
    <col min="11518" max="11518" width="12.3984375" style="4" bestFit="1" customWidth="1"/>
    <col min="11519" max="11520" width="13.86328125" style="4" bestFit="1" customWidth="1"/>
    <col min="11521" max="11521" width="14.86328125" style="4" bestFit="1" customWidth="1"/>
    <col min="11522" max="11522" width="12.1328125" style="4" bestFit="1" customWidth="1"/>
    <col min="11523" max="11523" width="12.3984375" style="4" bestFit="1" customWidth="1"/>
    <col min="11524" max="11525" width="13.86328125" style="4" bestFit="1" customWidth="1"/>
    <col min="11526" max="11526" width="14.86328125" style="4" bestFit="1" customWidth="1"/>
    <col min="11527" max="11765" width="9.1328125" style="4"/>
    <col min="11766" max="11766" width="15.3984375" style="4" bestFit="1" customWidth="1"/>
    <col min="11767" max="11767" width="11.1328125" style="4" bestFit="1" customWidth="1"/>
    <col min="11768" max="11768" width="14.59765625" style="4" bestFit="1" customWidth="1"/>
    <col min="11769" max="11769" width="17.3984375" style="4" bestFit="1" customWidth="1"/>
    <col min="11770" max="11770" width="17.59765625" style="4" bestFit="1" customWidth="1"/>
    <col min="11771" max="11771" width="14.73046875" style="4" bestFit="1" customWidth="1"/>
    <col min="11772" max="11772" width="14.3984375" style="4" bestFit="1" customWidth="1"/>
    <col min="11773" max="11773" width="12.1328125" style="4" bestFit="1" customWidth="1"/>
    <col min="11774" max="11774" width="12.3984375" style="4" bestFit="1" customWidth="1"/>
    <col min="11775" max="11776" width="13.86328125" style="4" bestFit="1" customWidth="1"/>
    <col min="11777" max="11777" width="14.86328125" style="4" bestFit="1" customWidth="1"/>
    <col min="11778" max="11778" width="12.1328125" style="4" bestFit="1" customWidth="1"/>
    <col min="11779" max="11779" width="12.3984375" style="4" bestFit="1" customWidth="1"/>
    <col min="11780" max="11781" width="13.86328125" style="4" bestFit="1" customWidth="1"/>
    <col min="11782" max="11782" width="14.86328125" style="4" bestFit="1" customWidth="1"/>
    <col min="11783" max="12021" width="9.1328125" style="4"/>
    <col min="12022" max="12022" width="15.3984375" style="4" bestFit="1" customWidth="1"/>
    <col min="12023" max="12023" width="11.1328125" style="4" bestFit="1" customWidth="1"/>
    <col min="12024" max="12024" width="14.59765625" style="4" bestFit="1" customWidth="1"/>
    <col min="12025" max="12025" width="17.3984375" style="4" bestFit="1" customWidth="1"/>
    <col min="12026" max="12026" width="17.59765625" style="4" bestFit="1" customWidth="1"/>
    <col min="12027" max="12027" width="14.73046875" style="4" bestFit="1" customWidth="1"/>
    <col min="12028" max="12028" width="14.3984375" style="4" bestFit="1" customWidth="1"/>
    <col min="12029" max="12029" width="12.1328125" style="4" bestFit="1" customWidth="1"/>
    <col min="12030" max="12030" width="12.3984375" style="4" bestFit="1" customWidth="1"/>
    <col min="12031" max="12032" width="13.86328125" style="4" bestFit="1" customWidth="1"/>
    <col min="12033" max="12033" width="14.86328125" style="4" bestFit="1" customWidth="1"/>
    <col min="12034" max="12034" width="12.1328125" style="4" bestFit="1" customWidth="1"/>
    <col min="12035" max="12035" width="12.3984375" style="4" bestFit="1" customWidth="1"/>
    <col min="12036" max="12037" width="13.86328125" style="4" bestFit="1" customWidth="1"/>
    <col min="12038" max="12038" width="14.86328125" style="4" bestFit="1" customWidth="1"/>
    <col min="12039" max="12277" width="9.1328125" style="4"/>
    <col min="12278" max="12278" width="15.3984375" style="4" bestFit="1" customWidth="1"/>
    <col min="12279" max="12279" width="11.1328125" style="4" bestFit="1" customWidth="1"/>
    <col min="12280" max="12280" width="14.59765625" style="4" bestFit="1" customWidth="1"/>
    <col min="12281" max="12281" width="17.3984375" style="4" bestFit="1" customWidth="1"/>
    <col min="12282" max="12282" width="17.59765625" style="4" bestFit="1" customWidth="1"/>
    <col min="12283" max="12283" width="14.73046875" style="4" bestFit="1" customWidth="1"/>
    <col min="12284" max="12284" width="14.3984375" style="4" bestFit="1" customWidth="1"/>
    <col min="12285" max="12285" width="12.1328125" style="4" bestFit="1" customWidth="1"/>
    <col min="12286" max="12286" width="12.3984375" style="4" bestFit="1" customWidth="1"/>
    <col min="12287" max="12288" width="13.86328125" style="4" bestFit="1" customWidth="1"/>
    <col min="12289" max="12289" width="14.86328125" style="4" bestFit="1" customWidth="1"/>
    <col min="12290" max="12290" width="12.1328125" style="4" bestFit="1" customWidth="1"/>
    <col min="12291" max="12291" width="12.3984375" style="4" bestFit="1" customWidth="1"/>
    <col min="12292" max="12293" width="13.86328125" style="4" bestFit="1" customWidth="1"/>
    <col min="12294" max="12294" width="14.86328125" style="4" bestFit="1" customWidth="1"/>
    <col min="12295" max="12533" width="9.1328125" style="4"/>
    <col min="12534" max="12534" width="15.3984375" style="4" bestFit="1" customWidth="1"/>
    <col min="12535" max="12535" width="11.1328125" style="4" bestFit="1" customWidth="1"/>
    <col min="12536" max="12536" width="14.59765625" style="4" bestFit="1" customWidth="1"/>
    <col min="12537" max="12537" width="17.3984375" style="4" bestFit="1" customWidth="1"/>
    <col min="12538" max="12538" width="17.59765625" style="4" bestFit="1" customWidth="1"/>
    <col min="12539" max="12539" width="14.73046875" style="4" bestFit="1" customWidth="1"/>
    <col min="12540" max="12540" width="14.3984375" style="4" bestFit="1" customWidth="1"/>
    <col min="12541" max="12541" width="12.1328125" style="4" bestFit="1" customWidth="1"/>
    <col min="12542" max="12542" width="12.3984375" style="4" bestFit="1" customWidth="1"/>
    <col min="12543" max="12544" width="13.86328125" style="4" bestFit="1" customWidth="1"/>
    <col min="12545" max="12545" width="14.86328125" style="4" bestFit="1" customWidth="1"/>
    <col min="12546" max="12546" width="12.1328125" style="4" bestFit="1" customWidth="1"/>
    <col min="12547" max="12547" width="12.3984375" style="4" bestFit="1" customWidth="1"/>
    <col min="12548" max="12549" width="13.86328125" style="4" bestFit="1" customWidth="1"/>
    <col min="12550" max="12550" width="14.86328125" style="4" bestFit="1" customWidth="1"/>
    <col min="12551" max="12789" width="9.1328125" style="4"/>
    <col min="12790" max="12790" width="15.3984375" style="4" bestFit="1" customWidth="1"/>
    <col min="12791" max="12791" width="11.1328125" style="4" bestFit="1" customWidth="1"/>
    <col min="12792" max="12792" width="14.59765625" style="4" bestFit="1" customWidth="1"/>
    <col min="12793" max="12793" width="17.3984375" style="4" bestFit="1" customWidth="1"/>
    <col min="12794" max="12794" width="17.59765625" style="4" bestFit="1" customWidth="1"/>
    <col min="12795" max="12795" width="14.73046875" style="4" bestFit="1" customWidth="1"/>
    <col min="12796" max="12796" width="14.3984375" style="4" bestFit="1" customWidth="1"/>
    <col min="12797" max="12797" width="12.1328125" style="4" bestFit="1" customWidth="1"/>
    <col min="12798" max="12798" width="12.3984375" style="4" bestFit="1" customWidth="1"/>
    <col min="12799" max="12800" width="13.86328125" style="4" bestFit="1" customWidth="1"/>
    <col min="12801" max="12801" width="14.86328125" style="4" bestFit="1" customWidth="1"/>
    <col min="12802" max="12802" width="12.1328125" style="4" bestFit="1" customWidth="1"/>
    <col min="12803" max="12803" width="12.3984375" style="4" bestFit="1" customWidth="1"/>
    <col min="12804" max="12805" width="13.86328125" style="4" bestFit="1" customWidth="1"/>
    <col min="12806" max="12806" width="14.86328125" style="4" bestFit="1" customWidth="1"/>
    <col min="12807" max="13045" width="9.1328125" style="4"/>
    <col min="13046" max="13046" width="15.3984375" style="4" bestFit="1" customWidth="1"/>
    <col min="13047" max="13047" width="11.1328125" style="4" bestFit="1" customWidth="1"/>
    <col min="13048" max="13048" width="14.59765625" style="4" bestFit="1" customWidth="1"/>
    <col min="13049" max="13049" width="17.3984375" style="4" bestFit="1" customWidth="1"/>
    <col min="13050" max="13050" width="17.59765625" style="4" bestFit="1" customWidth="1"/>
    <col min="13051" max="13051" width="14.73046875" style="4" bestFit="1" customWidth="1"/>
    <col min="13052" max="13052" width="14.3984375" style="4" bestFit="1" customWidth="1"/>
    <col min="13053" max="13053" width="12.1328125" style="4" bestFit="1" customWidth="1"/>
    <col min="13054" max="13054" width="12.3984375" style="4" bestFit="1" customWidth="1"/>
    <col min="13055" max="13056" width="13.86328125" style="4" bestFit="1" customWidth="1"/>
    <col min="13057" max="13057" width="14.86328125" style="4" bestFit="1" customWidth="1"/>
    <col min="13058" max="13058" width="12.1328125" style="4" bestFit="1" customWidth="1"/>
    <col min="13059" max="13059" width="12.3984375" style="4" bestFit="1" customWidth="1"/>
    <col min="13060" max="13061" width="13.86328125" style="4" bestFit="1" customWidth="1"/>
    <col min="13062" max="13062" width="14.86328125" style="4" bestFit="1" customWidth="1"/>
    <col min="13063" max="13301" width="9.1328125" style="4"/>
    <col min="13302" max="13302" width="15.3984375" style="4" bestFit="1" customWidth="1"/>
    <col min="13303" max="13303" width="11.1328125" style="4" bestFit="1" customWidth="1"/>
    <col min="13304" max="13304" width="14.59765625" style="4" bestFit="1" customWidth="1"/>
    <col min="13305" max="13305" width="17.3984375" style="4" bestFit="1" customWidth="1"/>
    <col min="13306" max="13306" width="17.59765625" style="4" bestFit="1" customWidth="1"/>
    <col min="13307" max="13307" width="14.73046875" style="4" bestFit="1" customWidth="1"/>
    <col min="13308" max="13308" width="14.3984375" style="4" bestFit="1" customWidth="1"/>
    <col min="13309" max="13309" width="12.1328125" style="4" bestFit="1" customWidth="1"/>
    <col min="13310" max="13310" width="12.3984375" style="4" bestFit="1" customWidth="1"/>
    <col min="13311" max="13312" width="13.86328125" style="4" bestFit="1" customWidth="1"/>
    <col min="13313" max="13313" width="14.86328125" style="4" bestFit="1" customWidth="1"/>
    <col min="13314" max="13314" width="12.1328125" style="4" bestFit="1" customWidth="1"/>
    <col min="13315" max="13315" width="12.3984375" style="4" bestFit="1" customWidth="1"/>
    <col min="13316" max="13317" width="13.86328125" style="4" bestFit="1" customWidth="1"/>
    <col min="13318" max="13318" width="14.86328125" style="4" bestFit="1" customWidth="1"/>
    <col min="13319" max="13557" width="9.1328125" style="4"/>
    <col min="13558" max="13558" width="15.3984375" style="4" bestFit="1" customWidth="1"/>
    <col min="13559" max="13559" width="11.1328125" style="4" bestFit="1" customWidth="1"/>
    <col min="13560" max="13560" width="14.59765625" style="4" bestFit="1" customWidth="1"/>
    <col min="13561" max="13561" width="17.3984375" style="4" bestFit="1" customWidth="1"/>
    <col min="13562" max="13562" width="17.59765625" style="4" bestFit="1" customWidth="1"/>
    <col min="13563" max="13563" width="14.73046875" style="4" bestFit="1" customWidth="1"/>
    <col min="13564" max="13564" width="14.3984375" style="4" bestFit="1" customWidth="1"/>
    <col min="13565" max="13565" width="12.1328125" style="4" bestFit="1" customWidth="1"/>
    <col min="13566" max="13566" width="12.3984375" style="4" bestFit="1" customWidth="1"/>
    <col min="13567" max="13568" width="13.86328125" style="4" bestFit="1" customWidth="1"/>
    <col min="13569" max="13569" width="14.86328125" style="4" bestFit="1" customWidth="1"/>
    <col min="13570" max="13570" width="12.1328125" style="4" bestFit="1" customWidth="1"/>
    <col min="13571" max="13571" width="12.3984375" style="4" bestFit="1" customWidth="1"/>
    <col min="13572" max="13573" width="13.86328125" style="4" bestFit="1" customWidth="1"/>
    <col min="13574" max="13574" width="14.86328125" style="4" bestFit="1" customWidth="1"/>
    <col min="13575" max="13813" width="9.1328125" style="4"/>
    <col min="13814" max="13814" width="15.3984375" style="4" bestFit="1" customWidth="1"/>
    <col min="13815" max="13815" width="11.1328125" style="4" bestFit="1" customWidth="1"/>
    <col min="13816" max="13816" width="14.59765625" style="4" bestFit="1" customWidth="1"/>
    <col min="13817" max="13817" width="17.3984375" style="4" bestFit="1" customWidth="1"/>
    <col min="13818" max="13818" width="17.59765625" style="4" bestFit="1" customWidth="1"/>
    <col min="13819" max="13819" width="14.73046875" style="4" bestFit="1" customWidth="1"/>
    <col min="13820" max="13820" width="14.3984375" style="4" bestFit="1" customWidth="1"/>
    <col min="13821" max="13821" width="12.1328125" style="4" bestFit="1" customWidth="1"/>
    <col min="13822" max="13822" width="12.3984375" style="4" bestFit="1" customWidth="1"/>
    <col min="13823" max="13824" width="13.86328125" style="4" bestFit="1" customWidth="1"/>
    <col min="13825" max="13825" width="14.86328125" style="4" bestFit="1" customWidth="1"/>
    <col min="13826" max="13826" width="12.1328125" style="4" bestFit="1" customWidth="1"/>
    <col min="13827" max="13827" width="12.3984375" style="4" bestFit="1" customWidth="1"/>
    <col min="13828" max="13829" width="13.86328125" style="4" bestFit="1" customWidth="1"/>
    <col min="13830" max="13830" width="14.86328125" style="4" bestFit="1" customWidth="1"/>
    <col min="13831" max="14069" width="9.1328125" style="4"/>
    <col min="14070" max="14070" width="15.3984375" style="4" bestFit="1" customWidth="1"/>
    <col min="14071" max="14071" width="11.1328125" style="4" bestFit="1" customWidth="1"/>
    <col min="14072" max="14072" width="14.59765625" style="4" bestFit="1" customWidth="1"/>
    <col min="14073" max="14073" width="17.3984375" style="4" bestFit="1" customWidth="1"/>
    <col min="14074" max="14074" width="17.59765625" style="4" bestFit="1" customWidth="1"/>
    <col min="14075" max="14075" width="14.73046875" style="4" bestFit="1" customWidth="1"/>
    <col min="14076" max="14076" width="14.3984375" style="4" bestFit="1" customWidth="1"/>
    <col min="14077" max="14077" width="12.1328125" style="4" bestFit="1" customWidth="1"/>
    <col min="14078" max="14078" width="12.3984375" style="4" bestFit="1" customWidth="1"/>
    <col min="14079" max="14080" width="13.86328125" style="4" bestFit="1" customWidth="1"/>
    <col min="14081" max="14081" width="14.86328125" style="4" bestFit="1" customWidth="1"/>
    <col min="14082" max="14082" width="12.1328125" style="4" bestFit="1" customWidth="1"/>
    <col min="14083" max="14083" width="12.3984375" style="4" bestFit="1" customWidth="1"/>
    <col min="14084" max="14085" width="13.86328125" style="4" bestFit="1" customWidth="1"/>
    <col min="14086" max="14086" width="14.86328125" style="4" bestFit="1" customWidth="1"/>
    <col min="14087" max="14325" width="9.1328125" style="4"/>
    <col min="14326" max="14326" width="15.3984375" style="4" bestFit="1" customWidth="1"/>
    <col min="14327" max="14327" width="11.1328125" style="4" bestFit="1" customWidth="1"/>
    <col min="14328" max="14328" width="14.59765625" style="4" bestFit="1" customWidth="1"/>
    <col min="14329" max="14329" width="17.3984375" style="4" bestFit="1" customWidth="1"/>
    <col min="14330" max="14330" width="17.59765625" style="4" bestFit="1" customWidth="1"/>
    <col min="14331" max="14331" width="14.73046875" style="4" bestFit="1" customWidth="1"/>
    <col min="14332" max="14332" width="14.3984375" style="4" bestFit="1" customWidth="1"/>
    <col min="14333" max="14333" width="12.1328125" style="4" bestFit="1" customWidth="1"/>
    <col min="14334" max="14334" width="12.3984375" style="4" bestFit="1" customWidth="1"/>
    <col min="14335" max="14336" width="13.86328125" style="4" bestFit="1" customWidth="1"/>
    <col min="14337" max="14337" width="14.86328125" style="4" bestFit="1" customWidth="1"/>
    <col min="14338" max="14338" width="12.1328125" style="4" bestFit="1" customWidth="1"/>
    <col min="14339" max="14339" width="12.3984375" style="4" bestFit="1" customWidth="1"/>
    <col min="14340" max="14341" width="13.86328125" style="4" bestFit="1" customWidth="1"/>
    <col min="14342" max="14342" width="14.86328125" style="4" bestFit="1" customWidth="1"/>
    <col min="14343" max="14581" width="9.1328125" style="4"/>
    <col min="14582" max="14582" width="15.3984375" style="4" bestFit="1" customWidth="1"/>
    <col min="14583" max="14583" width="11.1328125" style="4" bestFit="1" customWidth="1"/>
    <col min="14584" max="14584" width="14.59765625" style="4" bestFit="1" customWidth="1"/>
    <col min="14585" max="14585" width="17.3984375" style="4" bestFit="1" customWidth="1"/>
    <col min="14586" max="14586" width="17.59765625" style="4" bestFit="1" customWidth="1"/>
    <col min="14587" max="14587" width="14.73046875" style="4" bestFit="1" customWidth="1"/>
    <col min="14588" max="14588" width="14.3984375" style="4" bestFit="1" customWidth="1"/>
    <col min="14589" max="14589" width="12.1328125" style="4" bestFit="1" customWidth="1"/>
    <col min="14590" max="14590" width="12.3984375" style="4" bestFit="1" customWidth="1"/>
    <col min="14591" max="14592" width="13.86328125" style="4" bestFit="1" customWidth="1"/>
    <col min="14593" max="14593" width="14.86328125" style="4" bestFit="1" customWidth="1"/>
    <col min="14594" max="14594" width="12.1328125" style="4" bestFit="1" customWidth="1"/>
    <col min="14595" max="14595" width="12.3984375" style="4" bestFit="1" customWidth="1"/>
    <col min="14596" max="14597" width="13.86328125" style="4" bestFit="1" customWidth="1"/>
    <col min="14598" max="14598" width="14.86328125" style="4" bestFit="1" customWidth="1"/>
    <col min="14599" max="14837" width="9.1328125" style="4"/>
    <col min="14838" max="14838" width="15.3984375" style="4" bestFit="1" customWidth="1"/>
    <col min="14839" max="14839" width="11.1328125" style="4" bestFit="1" customWidth="1"/>
    <col min="14840" max="14840" width="14.59765625" style="4" bestFit="1" customWidth="1"/>
    <col min="14841" max="14841" width="17.3984375" style="4" bestFit="1" customWidth="1"/>
    <col min="14842" max="14842" width="17.59765625" style="4" bestFit="1" customWidth="1"/>
    <col min="14843" max="14843" width="14.73046875" style="4" bestFit="1" customWidth="1"/>
    <col min="14844" max="14844" width="14.3984375" style="4" bestFit="1" customWidth="1"/>
    <col min="14845" max="14845" width="12.1328125" style="4" bestFit="1" customWidth="1"/>
    <col min="14846" max="14846" width="12.3984375" style="4" bestFit="1" customWidth="1"/>
    <col min="14847" max="14848" width="13.86328125" style="4" bestFit="1" customWidth="1"/>
    <col min="14849" max="14849" width="14.86328125" style="4" bestFit="1" customWidth="1"/>
    <col min="14850" max="14850" width="12.1328125" style="4" bestFit="1" customWidth="1"/>
    <col min="14851" max="14851" width="12.3984375" style="4" bestFit="1" customWidth="1"/>
    <col min="14852" max="14853" width="13.86328125" style="4" bestFit="1" customWidth="1"/>
    <col min="14854" max="14854" width="14.86328125" style="4" bestFit="1" customWidth="1"/>
    <col min="14855" max="15093" width="9.1328125" style="4"/>
    <col min="15094" max="15094" width="15.3984375" style="4" bestFit="1" customWidth="1"/>
    <col min="15095" max="15095" width="11.1328125" style="4" bestFit="1" customWidth="1"/>
    <col min="15096" max="15096" width="14.59765625" style="4" bestFit="1" customWidth="1"/>
    <col min="15097" max="15097" width="17.3984375" style="4" bestFit="1" customWidth="1"/>
    <col min="15098" max="15098" width="17.59765625" style="4" bestFit="1" customWidth="1"/>
    <col min="15099" max="15099" width="14.73046875" style="4" bestFit="1" customWidth="1"/>
    <col min="15100" max="15100" width="14.3984375" style="4" bestFit="1" customWidth="1"/>
    <col min="15101" max="15101" width="12.1328125" style="4" bestFit="1" customWidth="1"/>
    <col min="15102" max="15102" width="12.3984375" style="4" bestFit="1" customWidth="1"/>
    <col min="15103" max="15104" width="13.86328125" style="4" bestFit="1" customWidth="1"/>
    <col min="15105" max="15105" width="14.86328125" style="4" bestFit="1" customWidth="1"/>
    <col min="15106" max="15106" width="12.1328125" style="4" bestFit="1" customWidth="1"/>
    <col min="15107" max="15107" width="12.3984375" style="4" bestFit="1" customWidth="1"/>
    <col min="15108" max="15109" width="13.86328125" style="4" bestFit="1" customWidth="1"/>
    <col min="15110" max="15110" width="14.86328125" style="4" bestFit="1" customWidth="1"/>
    <col min="15111" max="15349" width="9.1328125" style="4"/>
    <col min="15350" max="15350" width="15.3984375" style="4" bestFit="1" customWidth="1"/>
    <col min="15351" max="15351" width="11.1328125" style="4" bestFit="1" customWidth="1"/>
    <col min="15352" max="15352" width="14.59765625" style="4" bestFit="1" customWidth="1"/>
    <col min="15353" max="15353" width="17.3984375" style="4" bestFit="1" customWidth="1"/>
    <col min="15354" max="15354" width="17.59765625" style="4" bestFit="1" customWidth="1"/>
    <col min="15355" max="15355" width="14.73046875" style="4" bestFit="1" customWidth="1"/>
    <col min="15356" max="15356" width="14.3984375" style="4" bestFit="1" customWidth="1"/>
    <col min="15357" max="15357" width="12.1328125" style="4" bestFit="1" customWidth="1"/>
    <col min="15358" max="15358" width="12.3984375" style="4" bestFit="1" customWidth="1"/>
    <col min="15359" max="15360" width="13.86328125" style="4" bestFit="1" customWidth="1"/>
    <col min="15361" max="15361" width="14.86328125" style="4" bestFit="1" customWidth="1"/>
    <col min="15362" max="15362" width="12.1328125" style="4" bestFit="1" customWidth="1"/>
    <col min="15363" max="15363" width="12.3984375" style="4" bestFit="1" customWidth="1"/>
    <col min="15364" max="15365" width="13.86328125" style="4" bestFit="1" customWidth="1"/>
    <col min="15366" max="15366" width="14.86328125" style="4" bestFit="1" customWidth="1"/>
    <col min="15367" max="15605" width="9.1328125" style="4"/>
    <col min="15606" max="15606" width="15.3984375" style="4" bestFit="1" customWidth="1"/>
    <col min="15607" max="15607" width="11.1328125" style="4" bestFit="1" customWidth="1"/>
    <col min="15608" max="15608" width="14.59765625" style="4" bestFit="1" customWidth="1"/>
    <col min="15609" max="15609" width="17.3984375" style="4" bestFit="1" customWidth="1"/>
    <col min="15610" max="15610" width="17.59765625" style="4" bestFit="1" customWidth="1"/>
    <col min="15611" max="15611" width="14.73046875" style="4" bestFit="1" customWidth="1"/>
    <col min="15612" max="15612" width="14.3984375" style="4" bestFit="1" customWidth="1"/>
    <col min="15613" max="15613" width="12.1328125" style="4" bestFit="1" customWidth="1"/>
    <col min="15614" max="15614" width="12.3984375" style="4" bestFit="1" customWidth="1"/>
    <col min="15615" max="15616" width="13.86328125" style="4" bestFit="1" customWidth="1"/>
    <col min="15617" max="15617" width="14.86328125" style="4" bestFit="1" customWidth="1"/>
    <col min="15618" max="15618" width="12.1328125" style="4" bestFit="1" customWidth="1"/>
    <col min="15619" max="15619" width="12.3984375" style="4" bestFit="1" customWidth="1"/>
    <col min="15620" max="15621" width="13.86328125" style="4" bestFit="1" customWidth="1"/>
    <col min="15622" max="15622" width="14.86328125" style="4" bestFit="1" customWidth="1"/>
    <col min="15623" max="15861" width="9.1328125" style="4"/>
    <col min="15862" max="15862" width="15.3984375" style="4" bestFit="1" customWidth="1"/>
    <col min="15863" max="15863" width="11.1328125" style="4" bestFit="1" customWidth="1"/>
    <col min="15864" max="15864" width="14.59765625" style="4" bestFit="1" customWidth="1"/>
    <col min="15865" max="15865" width="17.3984375" style="4" bestFit="1" customWidth="1"/>
    <col min="15866" max="15866" width="17.59765625" style="4" bestFit="1" customWidth="1"/>
    <col min="15867" max="15867" width="14.73046875" style="4" bestFit="1" customWidth="1"/>
    <col min="15868" max="15868" width="14.3984375" style="4" bestFit="1" customWidth="1"/>
    <col min="15869" max="15869" width="12.1328125" style="4" bestFit="1" customWidth="1"/>
    <col min="15870" max="15870" width="12.3984375" style="4" bestFit="1" customWidth="1"/>
    <col min="15871" max="15872" width="13.86328125" style="4" bestFit="1" customWidth="1"/>
    <col min="15873" max="15873" width="14.86328125" style="4" bestFit="1" customWidth="1"/>
    <col min="15874" max="15874" width="12.1328125" style="4" bestFit="1" customWidth="1"/>
    <col min="15875" max="15875" width="12.3984375" style="4" bestFit="1" customWidth="1"/>
    <col min="15876" max="15877" width="13.86328125" style="4" bestFit="1" customWidth="1"/>
    <col min="15878" max="15878" width="14.86328125" style="4" bestFit="1" customWidth="1"/>
    <col min="15879" max="16117" width="9.1328125" style="4"/>
    <col min="16118" max="16118" width="15.3984375" style="4" bestFit="1" customWidth="1"/>
    <col min="16119" max="16119" width="11.1328125" style="4" bestFit="1" customWidth="1"/>
    <col min="16120" max="16120" width="14.59765625" style="4" bestFit="1" customWidth="1"/>
    <col min="16121" max="16121" width="17.3984375" style="4" bestFit="1" customWidth="1"/>
    <col min="16122" max="16122" width="17.59765625" style="4" bestFit="1" customWidth="1"/>
    <col min="16123" max="16123" width="14.73046875" style="4" bestFit="1" customWidth="1"/>
    <col min="16124" max="16124" width="14.3984375" style="4" bestFit="1" customWidth="1"/>
    <col min="16125" max="16125" width="12.1328125" style="4" bestFit="1" customWidth="1"/>
    <col min="16126" max="16126" width="12.3984375" style="4" bestFit="1" customWidth="1"/>
    <col min="16127" max="16128" width="13.86328125" style="4" bestFit="1" customWidth="1"/>
    <col min="16129" max="16129" width="14.86328125" style="4" bestFit="1" customWidth="1"/>
    <col min="16130" max="16130" width="12.1328125" style="4" bestFit="1" customWidth="1"/>
    <col min="16131" max="16131" width="12.3984375" style="4" bestFit="1" customWidth="1"/>
    <col min="16132" max="16133" width="13.86328125" style="4" bestFit="1" customWidth="1"/>
    <col min="16134" max="16134" width="14.86328125" style="4" bestFit="1" customWidth="1"/>
    <col min="16135" max="16384" width="9.1328125" style="4"/>
  </cols>
  <sheetData>
    <row r="1" spans="1:9">
      <c r="A1" s="57" t="s">
        <v>323</v>
      </c>
      <c r="B1" s="87" t="s">
        <v>324</v>
      </c>
      <c r="C1" s="58" t="s">
        <v>322</v>
      </c>
      <c r="D1" s="59" t="s">
        <v>215</v>
      </c>
      <c r="E1" s="59" t="s">
        <v>216</v>
      </c>
      <c r="F1" s="59" t="s">
        <v>217</v>
      </c>
      <c r="G1" s="59" t="s">
        <v>218</v>
      </c>
      <c r="H1" s="59" t="s">
        <v>220</v>
      </c>
      <c r="I1" s="59" t="s">
        <v>219</v>
      </c>
    </row>
    <row r="2" spans="1:9">
      <c r="A2" s="60" t="s">
        <v>5</v>
      </c>
      <c r="B2" s="76" t="s">
        <v>6</v>
      </c>
      <c r="C2" s="58">
        <v>5</v>
      </c>
      <c r="D2" s="61">
        <f>IFERROR((($C2*st_DL)/st_ind!C2),".")</f>
        <v>23.413378030871002</v>
      </c>
      <c r="E2" s="61">
        <f>IFERROR((($C2*st_DL)/st_ind!D2),".")</f>
        <v>41024.831871660972</v>
      </c>
      <c r="F2" s="61">
        <f>IFERROR((($C2*st_DL)/st_ind!E2),".")</f>
        <v>443.95055606914565</v>
      </c>
      <c r="G2" s="61">
        <f>IFERROR((($C2*st_DL)/st_ind!F2),".")</f>
        <v>3.3642647988755751E-3</v>
      </c>
      <c r="H2" s="61">
        <f>IFERROR((($C2*st_DL)/st_ind!G2),".")</f>
        <v>467.36729836481544</v>
      </c>
      <c r="I2" s="61">
        <f>IFERROR((($C2*st_DL)/st_ind!H2),".")</f>
        <v>41048.248613956639</v>
      </c>
    </row>
    <row r="3" spans="1:9">
      <c r="A3" s="62" t="s">
        <v>7</v>
      </c>
      <c r="B3" s="76" t="s">
        <v>8</v>
      </c>
      <c r="C3" s="58">
        <v>5</v>
      </c>
      <c r="D3" s="61">
        <f>IFERROR((($C3*st_DL)/st_ind!C3),".")</f>
        <v>123.73909632895557</v>
      </c>
      <c r="E3" s="61">
        <f>IFERROR((($C3*st_DL)/st_ind!D3),".")</f>
        <v>438402.61509912228</v>
      </c>
      <c r="F3" s="61">
        <f>IFERROR((($C3*st_DL)/st_ind!E3),".")</f>
        <v>4744.1775109349865</v>
      </c>
      <c r="G3" s="61">
        <f>IFERROR((($C3*st_DL)/st_ind!F3),".")</f>
        <v>5.582501436908611E-3</v>
      </c>
      <c r="H3" s="61">
        <f>IFERROR((($C3*st_DL)/st_ind!G3),".")</f>
        <v>4867.9221897653797</v>
      </c>
      <c r="I3" s="61">
        <f>IFERROR((($C3*st_DL)/st_ind!H3),".")</f>
        <v>438526.3597779526</v>
      </c>
    </row>
    <row r="4" spans="1:9">
      <c r="A4" s="60" t="s">
        <v>9</v>
      </c>
      <c r="B4" s="88" t="s">
        <v>6</v>
      </c>
      <c r="C4" s="58">
        <v>5</v>
      </c>
      <c r="D4" s="61" t="str">
        <f>IFERROR((($C4*st_DL)/st_ind!C4),".")</f>
        <v>.</v>
      </c>
      <c r="E4" s="61" t="str">
        <f>IFERROR((($C4*st_DL)/st_ind!D4),".")</f>
        <v>.</v>
      </c>
      <c r="F4" s="61" t="str">
        <f>IFERROR((($C4*st_DL)/st_ind!E4),".")</f>
        <v>.</v>
      </c>
      <c r="G4" s="61">
        <f>IFERROR((($C4*st_DL)/st_ind!F4),".")</f>
        <v>5.3906892663909569E-5</v>
      </c>
      <c r="H4" s="61">
        <f>IFERROR((($C4*st_DL)/st_ind!G4),".")</f>
        <v>5.3906892663909562E-5</v>
      </c>
      <c r="I4" s="61">
        <f>IFERROR((($C4*st_DL)/st_ind!H4),".")</f>
        <v>5.3906892663909562E-5</v>
      </c>
    </row>
    <row r="5" spans="1:9">
      <c r="A5" s="60" t="s">
        <v>10</v>
      </c>
      <c r="B5" s="88" t="s">
        <v>6</v>
      </c>
      <c r="C5" s="58">
        <v>5</v>
      </c>
      <c r="D5" s="61" t="str">
        <f>IFERROR((($C5*st_DL)/st_ind!C5),".")</f>
        <v>.</v>
      </c>
      <c r="E5" s="61" t="str">
        <f>IFERROR((($C5*st_DL)/st_ind!D5),".")</f>
        <v>.</v>
      </c>
      <c r="F5" s="61" t="str">
        <f>IFERROR((($C5*st_DL)/st_ind!E5),".")</f>
        <v>.</v>
      </c>
      <c r="G5" s="61">
        <f>IFERROR((($C5*st_DL)/st_ind!F5),".")</f>
        <v>2.9223295176213741E-5</v>
      </c>
      <c r="H5" s="61">
        <f>IFERROR((($C5*st_DL)/st_ind!G5),".")</f>
        <v>2.9223295176213741E-5</v>
      </c>
      <c r="I5" s="61">
        <f>IFERROR((($C5*st_DL)/st_ind!H5),".")</f>
        <v>2.9223295176213741E-5</v>
      </c>
    </row>
    <row r="6" spans="1:9">
      <c r="A6" s="60" t="s">
        <v>11</v>
      </c>
      <c r="B6" s="88" t="s">
        <v>6</v>
      </c>
      <c r="C6" s="58">
        <v>5</v>
      </c>
      <c r="D6" s="61" t="str">
        <f>IFERROR((($C6*st_DL)/st_ind!C6),".")</f>
        <v>.</v>
      </c>
      <c r="E6" s="61" t="str">
        <f>IFERROR((($C6*st_DL)/st_ind!D6),".")</f>
        <v>.</v>
      </c>
      <c r="F6" s="61" t="str">
        <f>IFERROR((($C6*st_DL)/st_ind!E6),".")</f>
        <v>.</v>
      </c>
      <c r="G6" s="61">
        <f>IFERROR((($C6*st_DL)/st_ind!F6),".")</f>
        <v>0.13285087097986623</v>
      </c>
      <c r="H6" s="61">
        <f>IFERROR((($C6*st_DL)/st_ind!G6),".")</f>
        <v>0.13285087097986623</v>
      </c>
      <c r="I6" s="61">
        <f>IFERROR((($C6*st_DL)/st_ind!H6),".")</f>
        <v>0.13285087097986623</v>
      </c>
    </row>
    <row r="7" spans="1:9">
      <c r="A7" s="60" t="s">
        <v>12</v>
      </c>
      <c r="B7" s="88" t="s">
        <v>6</v>
      </c>
      <c r="C7" s="58">
        <v>5</v>
      </c>
      <c r="D7" s="61">
        <f>IFERROR((($C7*st_DL)/st_ind!C7),".")</f>
        <v>0.79459909897515579</v>
      </c>
      <c r="E7" s="61">
        <f>IFERROR((($C7*st_DL)/st_ind!D7),".")</f>
        <v>652.46464632489131</v>
      </c>
      <c r="F7" s="61">
        <f>IFERROR((($C7*st_DL)/st_ind!E7),".")</f>
        <v>7.060651545326281</v>
      </c>
      <c r="G7" s="61">
        <f>IFERROR((($C7*st_DL)/st_ind!F7),".")</f>
        <v>8.2968561253577398E-3</v>
      </c>
      <c r="H7" s="61">
        <f>IFERROR((($C7*st_DL)/st_ind!G7),".")</f>
        <v>7.8635475004267938</v>
      </c>
      <c r="I7" s="61">
        <f>IFERROR((($C7*st_DL)/st_ind!H7),".")</f>
        <v>653.26754227999186</v>
      </c>
    </row>
    <row r="8" spans="1:9">
      <c r="A8" s="60" t="s">
        <v>13</v>
      </c>
      <c r="B8" s="88" t="s">
        <v>6</v>
      </c>
      <c r="C8" s="58">
        <v>5</v>
      </c>
      <c r="D8" s="61">
        <f>IFERROR((($C8*st_DL)/st_ind!C8),".")</f>
        <v>0.12009971114280982</v>
      </c>
      <c r="E8" s="61">
        <f>IFERROR((($C8*st_DL)/st_ind!D8),".")</f>
        <v>158.64722564749067</v>
      </c>
      <c r="F8" s="61">
        <f>IFERROR((($C8*st_DL)/st_ind!E8),".")</f>
        <v>1.716802259308787</v>
      </c>
      <c r="G8" s="61">
        <f>IFERROR((($C8*st_DL)/st_ind!F8),".")</f>
        <v>3.7783092112484623E-2</v>
      </c>
      <c r="H8" s="61">
        <f>IFERROR((($C8*st_DL)/st_ind!G8),".")</f>
        <v>1.8746850625640812</v>
      </c>
      <c r="I8" s="61">
        <f>IFERROR((($C8*st_DL)/st_ind!H8),".")</f>
        <v>158.80510845074596</v>
      </c>
    </row>
    <row r="9" spans="1:9">
      <c r="A9" s="60" t="s">
        <v>14</v>
      </c>
      <c r="B9" s="88" t="s">
        <v>6</v>
      </c>
      <c r="C9" s="58">
        <v>5</v>
      </c>
      <c r="D9" s="61">
        <f>IFERROR((($C9*st_DL)/st_ind!C9),".")</f>
        <v>6.7935190141387367E-2</v>
      </c>
      <c r="E9" s="61">
        <f>IFERROR((($C9*st_DL)/st_ind!D9),".")</f>
        <v>44.206231128269188</v>
      </c>
      <c r="F9" s="61">
        <f>IFERROR((($C9*st_DL)/st_ind!E9),".")</f>
        <v>0.47837809433347245</v>
      </c>
      <c r="G9" s="61">
        <f>IFERROR((($C9*st_DL)/st_ind!F9),".")</f>
        <v>0.31938131378491802</v>
      </c>
      <c r="H9" s="61">
        <f>IFERROR((($C9*st_DL)/st_ind!G9),".")</f>
        <v>0.86569459825977779</v>
      </c>
      <c r="I9" s="61">
        <f>IFERROR((($C9*st_DL)/st_ind!H9),".")</f>
        <v>44.593547632195495</v>
      </c>
    </row>
    <row r="10" spans="1:9">
      <c r="A10" s="62" t="s">
        <v>15</v>
      </c>
      <c r="B10" s="88" t="s">
        <v>8</v>
      </c>
      <c r="C10" s="58">
        <v>5</v>
      </c>
      <c r="D10" s="61">
        <f>IFERROR((($C10*st_DL)/st_ind!C10),".")</f>
        <v>8.2492730885970378</v>
      </c>
      <c r="E10" s="61">
        <f>IFERROR((($C10*st_DL)/st_ind!D10),".")</f>
        <v>186.35462843662989</v>
      </c>
      <c r="F10" s="61">
        <f>IFERROR((($C10*st_DL)/st_ind!E10),".")</f>
        <v>2.0166381468500401</v>
      </c>
      <c r="G10" s="61">
        <f>IFERROR((($C10*st_DL)/st_ind!F10),".")</f>
        <v>7.3598999705933076E-4</v>
      </c>
      <c r="H10" s="61">
        <f>IFERROR((($C10*st_DL)/st_ind!G10),".")</f>
        <v>10.266647225444137</v>
      </c>
      <c r="I10" s="61">
        <f>IFERROR((($C10*st_DL)/st_ind!H10),".")</f>
        <v>194.604637515224</v>
      </c>
    </row>
    <row r="11" spans="1:9">
      <c r="A11" s="60" t="s">
        <v>16</v>
      </c>
      <c r="B11" s="88" t="s">
        <v>6</v>
      </c>
      <c r="C11" s="58">
        <v>5</v>
      </c>
      <c r="D11" s="61" t="str">
        <f>IFERROR((($C11*st_DL)/st_ind!C11),".")</f>
        <v>.</v>
      </c>
      <c r="E11" s="61" t="str">
        <f>IFERROR((($C11*st_DL)/st_ind!D11),".")</f>
        <v>.</v>
      </c>
      <c r="F11" s="61" t="str">
        <f>IFERROR((($C11*st_DL)/st_ind!E11),".")</f>
        <v>.</v>
      </c>
      <c r="G11" s="61">
        <f>IFERROR((($C11*st_DL)/st_ind!F11),".")</f>
        <v>6.4812656973100924E-3</v>
      </c>
      <c r="H11" s="61">
        <f>IFERROR((($C11*st_DL)/st_ind!G11),".")</f>
        <v>6.4812656973100924E-3</v>
      </c>
      <c r="I11" s="61">
        <f>IFERROR((($C11*st_DL)/st_ind!H11),".")</f>
        <v>6.4812656973100924E-3</v>
      </c>
    </row>
    <row r="12" spans="1:9">
      <c r="A12" s="60" t="s">
        <v>17</v>
      </c>
      <c r="B12" s="88" t="s">
        <v>6</v>
      </c>
      <c r="C12" s="58">
        <v>5</v>
      </c>
      <c r="D12" s="61" t="str">
        <f>IFERROR((($C12*st_DL)/st_ind!C12),".")</f>
        <v>.</v>
      </c>
      <c r="E12" s="61" t="str">
        <f>IFERROR((($C12*st_DL)/st_ind!D12),".")</f>
        <v>.</v>
      </c>
      <c r="F12" s="61" t="str">
        <f>IFERROR((($C12*st_DL)/st_ind!E12),".")</f>
        <v>.</v>
      </c>
      <c r="G12" s="61">
        <f>IFERROR((($C12*st_DL)/st_ind!F12),".")</f>
        <v>3.4905403367122549E-2</v>
      </c>
      <c r="H12" s="61">
        <f>IFERROR((($C12*st_DL)/st_ind!G12),".")</f>
        <v>3.4905403367122549E-2</v>
      </c>
      <c r="I12" s="61">
        <f>IFERROR((($C12*st_DL)/st_ind!H12),".")</f>
        <v>3.4905403367122549E-2</v>
      </c>
    </row>
    <row r="13" spans="1:9">
      <c r="A13" s="60" t="s">
        <v>18</v>
      </c>
      <c r="B13" s="88" t="s">
        <v>6</v>
      </c>
      <c r="C13" s="58">
        <v>5</v>
      </c>
      <c r="D13" s="61">
        <f>IFERROR((($C13*st_DL)/st_ind!C13),".")</f>
        <v>64.902369152932565</v>
      </c>
      <c r="E13" s="61">
        <f>IFERROR((($C13*st_DL)/st_ind!D13),".")</f>
        <v>56308.59276502487</v>
      </c>
      <c r="F13" s="61">
        <f>IFERROR((($C13*st_DL)/st_ind!E13),".")</f>
        <v>609.34390048706246</v>
      </c>
      <c r="G13" s="61">
        <f>IFERROR((($C13*st_DL)/st_ind!F13),".")</f>
        <v>6.2728656697148329E-3</v>
      </c>
      <c r="H13" s="61">
        <f>IFERROR((($C13*st_DL)/st_ind!G13),".")</f>
        <v>674.25254250566491</v>
      </c>
      <c r="I13" s="61">
        <f>IFERROR((($C13*st_DL)/st_ind!H13),".")</f>
        <v>56373.50140704347</v>
      </c>
    </row>
    <row r="14" spans="1:9">
      <c r="A14" s="60" t="s">
        <v>19</v>
      </c>
      <c r="B14" s="88" t="s">
        <v>6</v>
      </c>
      <c r="C14" s="58">
        <v>5</v>
      </c>
      <c r="D14" s="61">
        <f>IFERROR((($C14*st_DL)/st_ind!C14),".")</f>
        <v>0.58594101496946605</v>
      </c>
      <c r="E14" s="61">
        <f>IFERROR((($C14*st_DL)/st_ind!D14),".")</f>
        <v>20.378347857818525</v>
      </c>
      <c r="F14" s="61">
        <f>IFERROR((($C14*st_DL)/st_ind!E14),".")</f>
        <v>0.22052445922388927</v>
      </c>
      <c r="G14" s="61">
        <f>IFERROR((($C14*st_DL)/st_ind!F14),".")</f>
        <v>4.8905988354445457E-2</v>
      </c>
      <c r="H14" s="61">
        <f>IFERROR((($C14*st_DL)/st_ind!G14),".")</f>
        <v>0.85537146254780083</v>
      </c>
      <c r="I14" s="61">
        <f>IFERROR((($C14*st_DL)/st_ind!H14),".")</f>
        <v>21.013194861142434</v>
      </c>
    </row>
    <row r="15" spans="1:9">
      <c r="A15" s="60" t="s">
        <v>20</v>
      </c>
      <c r="B15" s="88" t="s">
        <v>6</v>
      </c>
      <c r="C15" s="58">
        <v>5</v>
      </c>
      <c r="D15" s="61">
        <f>IFERROR((($C15*st_DL)/st_ind!C15),".")</f>
        <v>3.4392190009077353E-2</v>
      </c>
      <c r="E15" s="61">
        <f>IFERROR((($C15*st_DL)/st_ind!D15),".")</f>
        <v>0.31193172817450276</v>
      </c>
      <c r="F15" s="61">
        <f>IFERROR((($C15*st_DL)/st_ind!E15),".")</f>
        <v>3.3755717661902345E-3</v>
      </c>
      <c r="G15" s="61">
        <f>IFERROR((($C15*st_DL)/st_ind!F15),".")</f>
        <v>7.4577849289697476E-4</v>
      </c>
      <c r="H15" s="61">
        <f>IFERROR((($C15*st_DL)/st_ind!G15),".")</f>
        <v>3.8513540268164559E-2</v>
      </c>
      <c r="I15" s="61">
        <f>IFERROR((($C15*st_DL)/st_ind!H15),".")</f>
        <v>0.34706969667647708</v>
      </c>
    </row>
    <row r="16" spans="1:9">
      <c r="A16" s="62" t="s">
        <v>21</v>
      </c>
      <c r="B16" s="88" t="s">
        <v>6</v>
      </c>
      <c r="C16" s="58">
        <v>5</v>
      </c>
      <c r="D16" s="61">
        <f>IFERROR((($C16*st_DL)/st_ind!C16),".")</f>
        <v>422.16868159290721</v>
      </c>
      <c r="E16" s="61">
        <f>IFERROR((($C16*st_DL)/st_ind!D16),".")</f>
        <v>26947.68368040476</v>
      </c>
      <c r="F16" s="61">
        <f>IFERROR((($C16*st_DL)/st_ind!E16),".")</f>
        <v>291.61458094737992</v>
      </c>
      <c r="G16" s="61">
        <f>IFERROR((($C16*st_DL)/st_ind!F16),".")</f>
        <v>5.6368489362118958E-4</v>
      </c>
      <c r="H16" s="61">
        <f>IFERROR((($C16*st_DL)/st_ind!G16),".")</f>
        <v>713.78382622518063</v>
      </c>
      <c r="I16" s="61">
        <f>IFERROR((($C16*st_DL)/st_ind!H16),".")</f>
        <v>27369.852925682557</v>
      </c>
    </row>
    <row r="17" spans="1:9">
      <c r="A17" s="60" t="s">
        <v>22</v>
      </c>
      <c r="B17" s="88" t="s">
        <v>6</v>
      </c>
      <c r="C17" s="58">
        <v>5</v>
      </c>
      <c r="D17" s="61">
        <f>IFERROR((($C17*st_DL)/st_ind!C17),".")</f>
        <v>8.4312423479043247E-2</v>
      </c>
      <c r="E17" s="61">
        <f>IFERROR((($C17*st_DL)/st_ind!D17),".")</f>
        <v>56.28443635457225</v>
      </c>
      <c r="F17" s="61">
        <f>IFERROR((($C17*st_DL)/st_ind!E17),".")</f>
        <v>0.60908249169234463</v>
      </c>
      <c r="G17" s="61">
        <f>IFERROR((($C17*st_DL)/st_ind!F17),".")</f>
        <v>5.6916471751066205E-2</v>
      </c>
      <c r="H17" s="61">
        <f>IFERROR((($C17*st_DL)/st_ind!G17),".")</f>
        <v>0.75031138692245392</v>
      </c>
      <c r="I17" s="61">
        <f>IFERROR((($C17*st_DL)/st_ind!H17),".")</f>
        <v>56.425665249802364</v>
      </c>
    </row>
    <row r="18" spans="1:9">
      <c r="A18" s="60" t="s">
        <v>23</v>
      </c>
      <c r="B18" s="88" t="s">
        <v>6</v>
      </c>
      <c r="C18" s="58">
        <v>5</v>
      </c>
      <c r="D18" s="61">
        <f>IFERROR((($C18*st_DL)/st_ind!C18),".")</f>
        <v>733.94267920605989</v>
      </c>
      <c r="E18" s="61">
        <f>IFERROR((($C18*st_DL)/st_ind!D18),".")</f>
        <v>20914.620169866383</v>
      </c>
      <c r="F18" s="61">
        <f>IFERROR((($C18*st_DL)/st_ind!E18),".")</f>
        <v>226.32773446662324</v>
      </c>
      <c r="G18" s="61">
        <f>IFERROR((($C18*st_DL)/st_ind!F18),".")</f>
        <v>2.1108574974439053E-6</v>
      </c>
      <c r="H18" s="61">
        <f>IFERROR((($C18*st_DL)/st_ind!G18),".")</f>
        <v>960.27041578354067</v>
      </c>
      <c r="I18" s="61">
        <f>IFERROR((($C18*st_DL)/st_ind!H18),".")</f>
        <v>21648.562851183302</v>
      </c>
    </row>
    <row r="19" spans="1:9">
      <c r="A19" s="60" t="s">
        <v>24</v>
      </c>
      <c r="B19" s="88" t="s">
        <v>6</v>
      </c>
      <c r="C19" s="58">
        <v>5</v>
      </c>
      <c r="D19" s="61" t="str">
        <f>IFERROR((($C19*st_DL)/st_ind!C19),".")</f>
        <v>.</v>
      </c>
      <c r="E19" s="61" t="str">
        <f>IFERROR((($C19*st_DL)/st_ind!D19),".")</f>
        <v>.</v>
      </c>
      <c r="F19" s="61" t="str">
        <f>IFERROR((($C19*st_DL)/st_ind!E19),".")</f>
        <v>.</v>
      </c>
      <c r="G19" s="61">
        <f>IFERROR((($C19*st_DL)/st_ind!F19),".")</f>
        <v>8.1598926740359929E-6</v>
      </c>
      <c r="H19" s="61">
        <f>IFERROR((($C19*st_DL)/st_ind!G19),".")</f>
        <v>8.1598926740359929E-6</v>
      </c>
      <c r="I19" s="61">
        <f>IFERROR((($C19*st_DL)/st_ind!H19),".")</f>
        <v>8.1598926740359929E-6</v>
      </c>
    </row>
    <row r="20" spans="1:9">
      <c r="A20" s="60" t="s">
        <v>25</v>
      </c>
      <c r="B20" s="88" t="s">
        <v>6</v>
      </c>
      <c r="C20" s="58">
        <v>5</v>
      </c>
      <c r="D20" s="61" t="str">
        <f>IFERROR((($C20*st_DL)/st_ind!C20),".")</f>
        <v>.</v>
      </c>
      <c r="E20" s="61" t="str">
        <f>IFERROR((($C20*st_DL)/st_ind!D20),".")</f>
        <v>.</v>
      </c>
      <c r="F20" s="61" t="str">
        <f>IFERROR((($C20*st_DL)/st_ind!E20),".")</f>
        <v>.</v>
      </c>
      <c r="G20" s="61">
        <f>IFERROR((($C20*st_DL)/st_ind!F20),".")</f>
        <v>1.7973927545582424E-5</v>
      </c>
      <c r="H20" s="61">
        <f>IFERROR((($C20*st_DL)/st_ind!G20),".")</f>
        <v>1.7973927545582424E-5</v>
      </c>
      <c r="I20" s="61">
        <f>IFERROR((($C20*st_DL)/st_ind!H20),".")</f>
        <v>1.7973927545582424E-5</v>
      </c>
    </row>
    <row r="21" spans="1:9">
      <c r="A21" s="60" t="s">
        <v>26</v>
      </c>
      <c r="B21" s="88" t="s">
        <v>6</v>
      </c>
      <c r="C21" s="58">
        <v>5</v>
      </c>
      <c r="D21" s="61" t="str">
        <f>IFERROR((($C21*st_DL)/st_ind!C21),".")</f>
        <v>.</v>
      </c>
      <c r="E21" s="61">
        <f>IFERROR((($C21*st_DL)/st_ind!D21),".")</f>
        <v>9.2035923824429293</v>
      </c>
      <c r="F21" s="61">
        <f>IFERROR((($C21*st_DL)/st_ind!E21),".")</f>
        <v>9.959675078746065E-2</v>
      </c>
      <c r="G21" s="61">
        <f>IFERROR((($C21*st_DL)/st_ind!F21),".")</f>
        <v>1.5546793033745714E-9</v>
      </c>
      <c r="H21" s="61">
        <f>IFERROR((($C21*st_DL)/st_ind!G21),".")</f>
        <v>9.9596752342139938E-2</v>
      </c>
      <c r="I21" s="61">
        <f>IFERROR((($C21*st_DL)/st_ind!H21),".")</f>
        <v>9.2035923839976093</v>
      </c>
    </row>
    <row r="22" spans="1:9">
      <c r="A22" s="60" t="s">
        <v>27</v>
      </c>
      <c r="B22" s="88" t="s">
        <v>6</v>
      </c>
      <c r="C22" s="58">
        <v>5</v>
      </c>
      <c r="D22" s="61">
        <f>IFERROR((($C22*st_DL)/st_ind!C22),".")</f>
        <v>60.413794090019479</v>
      </c>
      <c r="E22" s="61">
        <f>IFERROR((($C22*st_DL)/st_ind!D22),".")</f>
        <v>37583.751202687228</v>
      </c>
      <c r="F22" s="61">
        <f>IFERROR((($C22*st_DL)/st_ind!E22),".")</f>
        <v>406.71287326160274</v>
      </c>
      <c r="G22" s="61">
        <f>IFERROR((($C22*st_DL)/st_ind!F22),".")</f>
        <v>2.8216218244627332E-3</v>
      </c>
      <c r="H22" s="61">
        <f>IFERROR((($C22*st_DL)/st_ind!G22),".")</f>
        <v>467.12948897344671</v>
      </c>
      <c r="I22" s="61">
        <f>IFERROR((($C22*st_DL)/st_ind!H22),".")</f>
        <v>37644.167818399073</v>
      </c>
    </row>
    <row r="23" spans="1:9">
      <c r="A23" s="62" t="s">
        <v>28</v>
      </c>
      <c r="B23" s="88" t="s">
        <v>8</v>
      </c>
      <c r="C23" s="58">
        <v>5</v>
      </c>
      <c r="D23" s="61">
        <f>IFERROR((($C23*st_DL)/st_ind!C23),".")</f>
        <v>169.83797535346841</v>
      </c>
      <c r="E23" s="61">
        <f>IFERROR((($C23*st_DL)/st_ind!D23),".")</f>
        <v>46030.040117440956</v>
      </c>
      <c r="F23" s="61">
        <f>IFERROR((($C23*st_DL)/st_ind!E23),".")</f>
        <v>498.11445833466217</v>
      </c>
      <c r="G23" s="61">
        <f>IFERROR((($C23*st_DL)/st_ind!F23),".")</f>
        <v>1.6101538348782468E-3</v>
      </c>
      <c r="H23" s="61">
        <f>IFERROR((($C23*st_DL)/st_ind!G23),".")</f>
        <v>667.95404384196547</v>
      </c>
      <c r="I23" s="61">
        <f>IFERROR((($C23*st_DL)/st_ind!H23),".")</f>
        <v>46199.879702948259</v>
      </c>
    </row>
    <row r="24" spans="1:9">
      <c r="A24" s="60" t="s">
        <v>29</v>
      </c>
      <c r="B24" s="88" t="s">
        <v>6</v>
      </c>
      <c r="C24" s="58">
        <v>5</v>
      </c>
      <c r="D24" s="61" t="str">
        <f>IFERROR((($C24*st_DL)/st_ind!C24),".")</f>
        <v>.</v>
      </c>
      <c r="E24" s="61" t="str">
        <f>IFERROR((($C24*st_DL)/st_ind!D24),".")</f>
        <v>.</v>
      </c>
      <c r="F24" s="61" t="str">
        <f>IFERROR((($C24*st_DL)/st_ind!E24),".")</f>
        <v>.</v>
      </c>
      <c r="G24" s="61">
        <f>IFERROR((($C24*st_DL)/st_ind!F24),".")</f>
        <v>1.6664265536208309E-4</v>
      </c>
      <c r="H24" s="61">
        <f>IFERROR((($C24*st_DL)/st_ind!G24),".")</f>
        <v>1.6664265536208309E-4</v>
      </c>
      <c r="I24" s="61">
        <f>IFERROR((($C24*st_DL)/st_ind!H24),".")</f>
        <v>1.6664265536208309E-4</v>
      </c>
    </row>
    <row r="25" spans="1:9">
      <c r="A25" s="62" t="s">
        <v>30</v>
      </c>
      <c r="B25" s="88" t="s">
        <v>8</v>
      </c>
      <c r="C25" s="58">
        <v>5</v>
      </c>
      <c r="D25" s="61" t="str">
        <f>IFERROR((($C25*st_DL)/st_ind!C25),".")</f>
        <v>.</v>
      </c>
      <c r="E25" s="61">
        <f>IFERROR((($C25*st_DL)/st_ind!D25),".")</f>
        <v>7.9112244232285045</v>
      </c>
      <c r="F25" s="61">
        <f>IFERROR((($C25*st_DL)/st_ind!E25),".")</f>
        <v>8.5611380270061335E-2</v>
      </c>
      <c r="G25" s="61">
        <f>IFERROR((($C25*st_DL)/st_ind!F25),".")</f>
        <v>8.5160327705460591E-5</v>
      </c>
      <c r="H25" s="61">
        <f>IFERROR((($C25*st_DL)/st_ind!G25),".")</f>
        <v>8.5696540597766782E-2</v>
      </c>
      <c r="I25" s="61">
        <f>IFERROR((($C25*st_DL)/st_ind!H25),".")</f>
        <v>7.9113095835562106</v>
      </c>
    </row>
    <row r="26" spans="1:9">
      <c r="A26" s="60" t="s">
        <v>31</v>
      </c>
      <c r="B26" s="88" t="s">
        <v>6</v>
      </c>
      <c r="C26" s="58">
        <v>5</v>
      </c>
      <c r="D26" s="61">
        <f>IFERROR((($C26*st_DL)/st_ind!C26),".")</f>
        <v>302.67553464778831</v>
      </c>
      <c r="E26" s="61">
        <f>IFERROR((($C26*st_DL)/st_ind!D26),".")</f>
        <v>337404.66299677594</v>
      </c>
      <c r="F26" s="61">
        <f>IFERROR((($C26*st_DL)/st_ind!E26),".")</f>
        <v>3651.2273402200967</v>
      </c>
      <c r="G26" s="61">
        <f>IFERROR((($C26*st_DL)/st_ind!F26),".")</f>
        <v>1.9636056184386488E-2</v>
      </c>
      <c r="H26" s="61">
        <f>IFERROR((($C26*st_DL)/st_ind!G26),".")</f>
        <v>3953.9225109240697</v>
      </c>
      <c r="I26" s="61">
        <f>IFERROR((($C26*st_DL)/st_ind!H26),".")</f>
        <v>337707.35816747992</v>
      </c>
    </row>
    <row r="27" spans="1:9">
      <c r="A27" s="60" t="s">
        <v>32</v>
      </c>
      <c r="B27" s="88" t="s">
        <v>6</v>
      </c>
      <c r="C27" s="58">
        <v>5</v>
      </c>
      <c r="D27" s="61" t="str">
        <f>IFERROR((($C27*st_DL)/st_ind!C27),".")</f>
        <v>.</v>
      </c>
      <c r="E27" s="61" t="str">
        <f>IFERROR((($C27*st_DL)/st_ind!D27),".")</f>
        <v>.</v>
      </c>
      <c r="F27" s="61" t="str">
        <f>IFERROR((($C27*st_DL)/st_ind!E27),".")</f>
        <v>.</v>
      </c>
      <c r="G27" s="61">
        <f>IFERROR((($C27*st_DL)/st_ind!F27),".")</f>
        <v>1.4975879962766926E-2</v>
      </c>
      <c r="H27" s="61">
        <f>IFERROR((($C27*st_DL)/st_ind!G27),".")</f>
        <v>1.4975879962766926E-2</v>
      </c>
      <c r="I27" s="61">
        <f>IFERROR((($C27*st_DL)/st_ind!H27),".")</f>
        <v>1.4975879962766926E-2</v>
      </c>
    </row>
    <row r="28" spans="1:9">
      <c r="A28" s="60" t="s">
        <v>33</v>
      </c>
      <c r="B28" s="88" t="s">
        <v>6</v>
      </c>
      <c r="C28" s="58">
        <v>5</v>
      </c>
      <c r="D28" s="61" t="str">
        <f>IFERROR((($C28*st_DL)/st_ind!C28),".")</f>
        <v>.</v>
      </c>
      <c r="E28" s="61" t="str">
        <f>IFERROR((($C28*st_DL)/st_ind!D28),".")</f>
        <v>.</v>
      </c>
      <c r="F28" s="61" t="str">
        <f>IFERROR((($C28*st_DL)/st_ind!E28),".")</f>
        <v>.</v>
      </c>
      <c r="G28" s="61">
        <f>IFERROR((($C28*st_DL)/st_ind!F28),".")</f>
        <v>0.45533597112028901</v>
      </c>
      <c r="H28" s="61">
        <f>IFERROR((($C28*st_DL)/st_ind!G28),".")</f>
        <v>0.45533597112028895</v>
      </c>
      <c r="I28" s="61">
        <f>IFERROR((($C28*st_DL)/st_ind!H28),".")</f>
        <v>0.45533597112028895</v>
      </c>
    </row>
    <row r="29" spans="1:9">
      <c r="A29" s="60" t="s">
        <v>34</v>
      </c>
      <c r="B29" s="88" t="s">
        <v>6</v>
      </c>
      <c r="C29" s="58">
        <v>5</v>
      </c>
      <c r="D29" s="61" t="str">
        <f>IFERROR((($C29*st_DL)/st_ind!C29),".")</f>
        <v>.</v>
      </c>
      <c r="E29" s="61" t="str">
        <f>IFERROR((($C29*st_DL)/st_ind!D29),".")</f>
        <v>.</v>
      </c>
      <c r="F29" s="61" t="str">
        <f>IFERROR((($C29*st_DL)/st_ind!E29),".")</f>
        <v>.</v>
      </c>
      <c r="G29" s="61">
        <f>IFERROR((($C29*st_DL)/st_ind!F29),".")</f>
        <v>0.59869099958888705</v>
      </c>
      <c r="H29" s="61">
        <f>IFERROR((($C29*st_DL)/st_ind!G29),".")</f>
        <v>0.59869099958888705</v>
      </c>
      <c r="I29" s="61">
        <f>IFERROR((($C29*st_DL)/st_ind!H29),".")</f>
        <v>0.59869099958888705</v>
      </c>
    </row>
    <row r="30" spans="1:9">
      <c r="A30" s="60" t="s">
        <v>35</v>
      </c>
      <c r="B30" s="88" t="s">
        <v>6</v>
      </c>
      <c r="C30" s="58">
        <v>5</v>
      </c>
      <c r="D30" s="61">
        <f>IFERROR((($C30*st_DL)/st_ind!C30),".")</f>
        <v>31.056086921777084</v>
      </c>
      <c r="E30" s="61">
        <f>IFERROR((($C30*st_DL)/st_ind!D30),".")</f>
        <v>46030.040117440956</v>
      </c>
      <c r="F30" s="61">
        <f>IFERROR((($C30*st_DL)/st_ind!E30),".")</f>
        <v>498.11445833466217</v>
      </c>
      <c r="G30" s="61">
        <f>IFERROR((($C30*st_DL)/st_ind!F30),".")</f>
        <v>1.2364700892335774E-4</v>
      </c>
      <c r="H30" s="61">
        <f>IFERROR((($C30*st_DL)/st_ind!G30),".")</f>
        <v>529.17066890344825</v>
      </c>
      <c r="I30" s="61">
        <f>IFERROR((($C30*st_DL)/st_ind!H30),".")</f>
        <v>46061.096328009749</v>
      </c>
    </row>
    <row r="31" spans="1:9">
      <c r="A31" s="63" t="s">
        <v>7</v>
      </c>
      <c r="B31" s="82" t="s">
        <v>6</v>
      </c>
      <c r="C31" s="58">
        <v>5</v>
      </c>
      <c r="D31" s="64">
        <f>SUM(D32:D44)</f>
        <v>606.94067354943718</v>
      </c>
      <c r="E31" s="64">
        <f t="shared" ref="E31:I31" si="0">SUM(E32:E44)</f>
        <v>956933.81248284678</v>
      </c>
      <c r="F31" s="64">
        <f t="shared" si="0"/>
        <v>10355.467135176514</v>
      </c>
      <c r="G31" s="64">
        <f t="shared" si="0"/>
        <v>0.14128973321459351</v>
      </c>
      <c r="H31" s="64">
        <f t="shared" si="0"/>
        <v>10962.549098459169</v>
      </c>
      <c r="I31" s="64">
        <f t="shared" si="0"/>
        <v>957540.89444612933</v>
      </c>
    </row>
    <row r="32" spans="1:9">
      <c r="A32" s="65" t="s">
        <v>390</v>
      </c>
      <c r="B32" s="89">
        <v>1</v>
      </c>
      <c r="C32" s="58">
        <v>5</v>
      </c>
      <c r="D32" s="61">
        <f>IFERROR((($C32*st_DL)/st_ind!C32),0)</f>
        <v>123.73909632895557</v>
      </c>
      <c r="E32" s="61">
        <f>IFERROR((($C32*st_DL)/st_ind!D32),0)</f>
        <v>438402.61509912228</v>
      </c>
      <c r="F32" s="61">
        <f>IFERROR((($C32*st_DL)/st_ind!E32),0)</f>
        <v>4744.1775109349865</v>
      </c>
      <c r="G32" s="61">
        <f>IFERROR((($C32*st_DL)/st_ind!F32),0)</f>
        <v>5.582501436908611E-3</v>
      </c>
      <c r="H32" s="61">
        <f>IFERROR((($C32*st_DL)/st_ind!G32),0)</f>
        <v>4867.9221897653797</v>
      </c>
      <c r="I32" s="61">
        <f>IFERROR((($C32*st_DL)/st_ind!H32),0)</f>
        <v>438526.3597779526</v>
      </c>
    </row>
    <row r="33" spans="1:9">
      <c r="A33" s="65" t="s">
        <v>391</v>
      </c>
      <c r="B33" s="89">
        <v>1</v>
      </c>
      <c r="C33" s="58">
        <v>5</v>
      </c>
      <c r="D33" s="61">
        <f>IFERROR((($C33*st_DL)/st_ind!C33),0)</f>
        <v>64.902369152932565</v>
      </c>
      <c r="E33" s="61">
        <f>IFERROR((($C33*st_DL)/st_ind!D33),0)</f>
        <v>56308.59276502487</v>
      </c>
      <c r="F33" s="61">
        <f>IFERROR((($C33*st_DL)/st_ind!E33),0)</f>
        <v>609.34390048706246</v>
      </c>
      <c r="G33" s="61">
        <f>IFERROR((($C33*st_DL)/st_ind!F33),0)</f>
        <v>6.2728656697148329E-3</v>
      </c>
      <c r="H33" s="61">
        <f>IFERROR((($C33*st_DL)/st_ind!G33),0)</f>
        <v>674.25254250566491</v>
      </c>
      <c r="I33" s="61">
        <f>IFERROR((($C33*st_DL)/st_ind!H33),0)</f>
        <v>56373.50140704347</v>
      </c>
    </row>
    <row r="34" spans="1:9">
      <c r="A34" s="65" t="s">
        <v>392</v>
      </c>
      <c r="B34" s="89">
        <v>1</v>
      </c>
      <c r="C34" s="58">
        <v>5</v>
      </c>
      <c r="D34" s="61">
        <f>IFERROR((($C34*st_DL)/st_ind!C34),0)</f>
        <v>0.58594101496946605</v>
      </c>
      <c r="E34" s="61">
        <f>IFERROR((($C34*st_DL)/st_ind!D34),0)</f>
        <v>20.378347857818525</v>
      </c>
      <c r="F34" s="61">
        <f>IFERROR((($C34*st_DL)/st_ind!E34),0)</f>
        <v>0.22052445922388927</v>
      </c>
      <c r="G34" s="61">
        <f>IFERROR((($C34*st_DL)/st_ind!F34),0)</f>
        <v>4.8905988354445457E-2</v>
      </c>
      <c r="H34" s="61">
        <f>IFERROR((($C34*st_DL)/st_ind!G34),0)</f>
        <v>0.85537146254780083</v>
      </c>
      <c r="I34" s="61">
        <f>IFERROR((($C34*st_DL)/st_ind!H34),0)</f>
        <v>21.013194861142434</v>
      </c>
    </row>
    <row r="35" spans="1:9">
      <c r="A35" s="65" t="s">
        <v>393</v>
      </c>
      <c r="B35" s="89">
        <v>1</v>
      </c>
      <c r="C35" s="58">
        <v>5</v>
      </c>
      <c r="D35" s="61">
        <f>IFERROR((($C35*st_DL)/st_ind!C35),0)</f>
        <v>31.056086921777084</v>
      </c>
      <c r="E35" s="61">
        <f>IFERROR((($C35*st_DL)/st_ind!D35),0)</f>
        <v>46030.040117440956</v>
      </c>
      <c r="F35" s="61">
        <f>IFERROR((($C35*st_DL)/st_ind!E35),0)</f>
        <v>498.11445833466217</v>
      </c>
      <c r="G35" s="61">
        <f>IFERROR((($C35*st_DL)/st_ind!F35),0)</f>
        <v>1.2364700892335774E-4</v>
      </c>
      <c r="H35" s="61">
        <f>IFERROR((($C35*st_DL)/st_ind!G35),0)</f>
        <v>529.17066890344825</v>
      </c>
      <c r="I35" s="61">
        <f>IFERROR((($C35*st_DL)/st_ind!H35),0)</f>
        <v>46061.096328009749</v>
      </c>
    </row>
    <row r="36" spans="1:9">
      <c r="A36" s="65" t="s">
        <v>394</v>
      </c>
      <c r="B36" s="89">
        <v>1</v>
      </c>
      <c r="C36" s="58">
        <v>5</v>
      </c>
      <c r="D36" s="61">
        <f>IFERROR((($C36*st_DL)/st_ind!C36),0)</f>
        <v>302.67553464778831</v>
      </c>
      <c r="E36" s="61">
        <f>IFERROR((($C36*st_DL)/st_ind!D36),0)</f>
        <v>337404.66299677594</v>
      </c>
      <c r="F36" s="61">
        <f>IFERROR((($C36*st_DL)/st_ind!E36),0)</f>
        <v>3651.2273402200967</v>
      </c>
      <c r="G36" s="61">
        <f>IFERROR((($C36*st_DL)/st_ind!F36),0)</f>
        <v>1.9636056184386488E-2</v>
      </c>
      <c r="H36" s="61">
        <f>IFERROR((($C36*st_DL)/st_ind!G36),0)</f>
        <v>3953.9225109240697</v>
      </c>
      <c r="I36" s="61">
        <f>IFERROR((($C36*st_DL)/st_ind!H36),0)</f>
        <v>337707.35816747992</v>
      </c>
    </row>
    <row r="37" spans="1:9">
      <c r="A37" s="65" t="s">
        <v>395</v>
      </c>
      <c r="B37" s="89">
        <v>1</v>
      </c>
      <c r="C37" s="58">
        <v>5</v>
      </c>
      <c r="D37" s="61">
        <f>IFERROR((($C37*st_DL)/st_ind!C37),0)</f>
        <v>60.413794090019479</v>
      </c>
      <c r="E37" s="61">
        <f>IFERROR((($C37*st_DL)/st_ind!D37),0)</f>
        <v>37583.751202687228</v>
      </c>
      <c r="F37" s="61">
        <f>IFERROR((($C37*st_DL)/st_ind!E37),0)</f>
        <v>406.71287326160274</v>
      </c>
      <c r="G37" s="61">
        <f>IFERROR((($C37*st_DL)/st_ind!F37),0)</f>
        <v>2.8216218244627332E-3</v>
      </c>
      <c r="H37" s="61">
        <f>IFERROR((($C37*st_DL)/st_ind!G37),0)</f>
        <v>467.12948897344671</v>
      </c>
      <c r="I37" s="61">
        <f>IFERROR((($C37*st_DL)/st_ind!H37),0)</f>
        <v>37644.167818399073</v>
      </c>
    </row>
    <row r="38" spans="1:9">
      <c r="A38" s="65" t="s">
        <v>396</v>
      </c>
      <c r="B38" s="89">
        <v>1</v>
      </c>
      <c r="C38" s="58">
        <v>5</v>
      </c>
      <c r="D38" s="61">
        <f>IFERROR((($C38*st_DL)/st_ind!C38),0)</f>
        <v>23.413378030871002</v>
      </c>
      <c r="E38" s="61">
        <f>IFERROR((($C38*st_DL)/st_ind!D38),0)</f>
        <v>41024.831871660972</v>
      </c>
      <c r="F38" s="61">
        <f>IFERROR((($C38*st_DL)/st_ind!E38),0)</f>
        <v>443.95055606914565</v>
      </c>
      <c r="G38" s="61">
        <f>IFERROR((($C38*st_DL)/st_ind!F38),0)</f>
        <v>3.3642647988755751E-3</v>
      </c>
      <c r="H38" s="61">
        <f>IFERROR((($C38*st_DL)/st_ind!G38),0)</f>
        <v>467.36729836481544</v>
      </c>
      <c r="I38" s="61">
        <f>IFERROR((($C38*st_DL)/st_ind!H38),0)</f>
        <v>41048.248613956639</v>
      </c>
    </row>
    <row r="39" spans="1:9">
      <c r="A39" s="65" t="s">
        <v>397</v>
      </c>
      <c r="B39" s="89">
        <v>1</v>
      </c>
      <c r="C39" s="58">
        <v>5</v>
      </c>
      <c r="D39" s="61">
        <f>IFERROR((($C39*st_DL)/st_ind!C39),0)</f>
        <v>0</v>
      </c>
      <c r="E39" s="61">
        <f>IFERROR((($C39*st_DL)/st_ind!D39),0)</f>
        <v>0</v>
      </c>
      <c r="F39" s="61">
        <f>IFERROR((($C39*st_DL)/st_ind!E39),0)</f>
        <v>0</v>
      </c>
      <c r="G39" s="61">
        <f>IFERROR((($C39*st_DL)/st_ind!F39),0)</f>
        <v>6.4812656973100924E-3</v>
      </c>
      <c r="H39" s="61">
        <f>IFERROR((($C39*st_DL)/st_ind!G39),0)</f>
        <v>6.4812656973100924E-3</v>
      </c>
      <c r="I39" s="61">
        <f>IFERROR((($C39*st_DL)/st_ind!H39),0)</f>
        <v>6.4812656973100924E-3</v>
      </c>
    </row>
    <row r="40" spans="1:9">
      <c r="A40" s="65" t="s">
        <v>398</v>
      </c>
      <c r="B40" s="89">
        <v>1</v>
      </c>
      <c r="C40" s="58">
        <v>5</v>
      </c>
      <c r="D40" s="61">
        <f>IFERROR((($C40*st_DL)/st_ind!C40),0)</f>
        <v>0</v>
      </c>
      <c r="E40" s="61">
        <f>IFERROR((($C40*st_DL)/st_ind!D40),0)</f>
        <v>0</v>
      </c>
      <c r="F40" s="61">
        <f>IFERROR((($C40*st_DL)/st_ind!E40),0)</f>
        <v>0</v>
      </c>
      <c r="G40" s="61">
        <f>IFERROR((($C40*st_DL)/st_ind!F40),0)</f>
        <v>5.3906892663909569E-5</v>
      </c>
      <c r="H40" s="61">
        <f>IFERROR((($C40*st_DL)/st_ind!G40),0)</f>
        <v>5.3906892663909562E-5</v>
      </c>
      <c r="I40" s="61">
        <f>IFERROR((($C40*st_DL)/st_ind!H40),0)</f>
        <v>5.3906892663909562E-5</v>
      </c>
    </row>
    <row r="41" spans="1:9">
      <c r="A41" s="65" t="s">
        <v>399</v>
      </c>
      <c r="B41" s="90">
        <v>0.99987999999999999</v>
      </c>
      <c r="C41" s="58">
        <v>5</v>
      </c>
      <c r="D41" s="61">
        <f>IFERROR((($C41*st_DL)/st_ind!C41),0)</f>
        <v>0.12008529917747267</v>
      </c>
      <c r="E41" s="61">
        <f>IFERROR((($C41*st_DL)/st_ind!D41),0)</f>
        <v>158.62818798041297</v>
      </c>
      <c r="F41" s="61">
        <f>IFERROR((($C41*st_DL)/st_ind!E41),0)</f>
        <v>1.71659624303767</v>
      </c>
      <c r="G41" s="61">
        <f>IFERROR((($C41*st_DL)/st_ind!F41),0)</f>
        <v>3.7778558141431128E-2</v>
      </c>
      <c r="H41" s="61">
        <f>IFERROR((($C41*st_DL)/st_ind!G41),0)</f>
        <v>1.8744601003565737</v>
      </c>
      <c r="I41" s="61">
        <f>IFERROR((($C41*st_DL)/st_ind!H41),0)</f>
        <v>158.78605183773189</v>
      </c>
    </row>
    <row r="42" spans="1:9">
      <c r="A42" s="65" t="s">
        <v>400</v>
      </c>
      <c r="B42" s="89">
        <v>0.97898250799999997</v>
      </c>
      <c r="C42" s="58">
        <v>5</v>
      </c>
      <c r="D42" s="61">
        <f>IFERROR((($C42*st_DL)/st_ind!C42),0)</f>
        <v>0</v>
      </c>
      <c r="E42" s="61">
        <f>IFERROR((($C42*st_DL)/st_ind!D42),0)</f>
        <v>0</v>
      </c>
      <c r="F42" s="61">
        <f>IFERROR((($C42*st_DL)/st_ind!E42),0)</f>
        <v>0</v>
      </c>
      <c r="G42" s="61">
        <f>IFERROR((($C42*st_DL)/st_ind!F42),0)</f>
        <v>7.9883921950385817E-6</v>
      </c>
      <c r="H42" s="61">
        <f>IFERROR((($C42*st_DL)/st_ind!G42),0)</f>
        <v>7.9883921950385817E-6</v>
      </c>
      <c r="I42" s="61">
        <f>IFERROR((($C42*st_DL)/st_ind!H42),0)</f>
        <v>7.9883921950385817E-6</v>
      </c>
    </row>
    <row r="43" spans="1:9">
      <c r="A43" s="65" t="s">
        <v>401</v>
      </c>
      <c r="B43" s="89">
        <v>2.0897492E-2</v>
      </c>
      <c r="C43" s="58">
        <v>5</v>
      </c>
      <c r="D43" s="61">
        <f>IFERROR((($C43*st_DL)/st_ind!C43),0)</f>
        <v>0</v>
      </c>
      <c r="E43" s="61">
        <f>IFERROR((($C43*st_DL)/st_ind!D43),0)</f>
        <v>0</v>
      </c>
      <c r="F43" s="61">
        <f>IFERROR((($C43*st_DL)/st_ind!E43),0)</f>
        <v>0</v>
      </c>
      <c r="G43" s="61">
        <f>IFERROR((($C43*st_DL)/st_ind!F43),0)</f>
        <v>9.5153798137984722E-3</v>
      </c>
      <c r="H43" s="61">
        <f>IFERROR((($C43*st_DL)/st_ind!G43),0)</f>
        <v>9.5153798137984722E-3</v>
      </c>
      <c r="I43" s="61">
        <f>IFERROR((($C43*st_DL)/st_ind!H43),0)</f>
        <v>9.5153798137984722E-3</v>
      </c>
    </row>
    <row r="44" spans="1:9">
      <c r="A44" s="65" t="s">
        <v>402</v>
      </c>
      <c r="B44" s="89">
        <v>0.99987999999999999</v>
      </c>
      <c r="C44" s="58">
        <v>5</v>
      </c>
      <c r="D44" s="61">
        <f>IFERROR((($C44*st_DL)/st_ind!C44),0)</f>
        <v>3.4388062946276256E-2</v>
      </c>
      <c r="E44" s="61">
        <f>IFERROR((($C44*st_DL)/st_ind!D44),0)</f>
        <v>0.31189429636712185</v>
      </c>
      <c r="F44" s="61">
        <f>IFERROR((($C44*st_DL)/st_ind!E44),0)</f>
        <v>3.3751666975782918E-3</v>
      </c>
      <c r="G44" s="61">
        <f>IFERROR((($C44*st_DL)/st_ind!F44),0)</f>
        <v>7.456889994778271E-4</v>
      </c>
      <c r="H44" s="61">
        <f>IFERROR((($C44*st_DL)/st_ind!G44),0)</f>
        <v>3.8508918643332377E-2</v>
      </c>
      <c r="I44" s="61">
        <f>IFERROR((($C44*st_DL)/st_ind!H44),0)</f>
        <v>0.34702804831287593</v>
      </c>
    </row>
    <row r="45" spans="1:9">
      <c r="A45" s="63" t="s">
        <v>15</v>
      </c>
      <c r="B45" s="82" t="s">
        <v>6</v>
      </c>
      <c r="C45" s="58">
        <v>5</v>
      </c>
      <c r="D45" s="64">
        <f>SUM(D46:D47)</f>
        <v>8.2492730885970378</v>
      </c>
      <c r="E45" s="64">
        <f t="shared" ref="E45:I45" si="1">SUM(E46:E47)</f>
        <v>186.35462843662989</v>
      </c>
      <c r="F45" s="64">
        <f t="shared" si="1"/>
        <v>2.0166381468500401</v>
      </c>
      <c r="G45" s="64">
        <f t="shared" si="1"/>
        <v>0.12614588369334326</v>
      </c>
      <c r="H45" s="64">
        <f t="shared" si="1"/>
        <v>10.392057119140421</v>
      </c>
      <c r="I45" s="64">
        <f t="shared" si="1"/>
        <v>194.73004740892029</v>
      </c>
    </row>
    <row r="46" spans="1:9">
      <c r="A46" s="65" t="s">
        <v>403</v>
      </c>
      <c r="B46" s="89">
        <v>1</v>
      </c>
      <c r="C46" s="58">
        <v>5</v>
      </c>
      <c r="D46" s="61">
        <f>IFERROR((($C46*st_DL)/st_ind!C46),0)</f>
        <v>8.2492730885970378</v>
      </c>
      <c r="E46" s="61">
        <f>IFERROR((($C46*st_DL)/st_ind!D46),0)</f>
        <v>186.35462843662989</v>
      </c>
      <c r="F46" s="61">
        <f>IFERROR((($C46*st_DL)/st_ind!E46),0)</f>
        <v>2.0166381468500401</v>
      </c>
      <c r="G46" s="61">
        <f>IFERROR((($C46*st_DL)/st_ind!F46),0)</f>
        <v>7.3598999705933076E-4</v>
      </c>
      <c r="H46" s="61">
        <f>IFERROR((($C46*st_DL)/st_ind!G46),0)</f>
        <v>10.266647225444137</v>
      </c>
      <c r="I46" s="61">
        <f>IFERROR((($C46*st_DL)/st_ind!H46),0)</f>
        <v>194.604637515224</v>
      </c>
    </row>
    <row r="47" spans="1:9">
      <c r="A47" s="65" t="s">
        <v>404</v>
      </c>
      <c r="B47" s="89">
        <v>0.94399</v>
      </c>
      <c r="C47" s="58">
        <v>5</v>
      </c>
      <c r="D47" s="61">
        <f>IFERROR((($C47*st_DL)/st_ind!C47),0)</f>
        <v>0</v>
      </c>
      <c r="E47" s="61">
        <f>IFERROR((($C47*st_DL)/st_ind!D47),0)</f>
        <v>0</v>
      </c>
      <c r="F47" s="61">
        <f>IFERROR((($C47*st_DL)/st_ind!E47),0)</f>
        <v>0</v>
      </c>
      <c r="G47" s="61">
        <f>IFERROR((($C47*st_DL)/st_ind!F47),0)</f>
        <v>0.12540989369628391</v>
      </c>
      <c r="H47" s="61">
        <f>IFERROR((($C47*st_DL)/st_ind!G47),0)</f>
        <v>0.12540989369628391</v>
      </c>
      <c r="I47" s="61">
        <f>IFERROR((($C47*st_DL)/st_ind!H47),0)</f>
        <v>0.12540989369628391</v>
      </c>
    </row>
    <row r="48" spans="1:9">
      <c r="A48" s="63" t="s">
        <v>28</v>
      </c>
      <c r="B48" s="82" t="s">
        <v>6</v>
      </c>
      <c r="C48" s="58">
        <v>5</v>
      </c>
      <c r="D48" s="64">
        <f>SUM(D49:D62)</f>
        <v>1326.8961659889594</v>
      </c>
      <c r="E48" s="64">
        <f t="shared" ref="E48:I48" si="2">SUM(E49:E62)</f>
        <v>94662.402832596985</v>
      </c>
      <c r="F48" s="64">
        <f t="shared" si="2"/>
        <v>1024.3899720989009</v>
      </c>
      <c r="G48" s="64">
        <f t="shared" si="2"/>
        <v>0.38698802779079433</v>
      </c>
      <c r="H48" s="64">
        <f t="shared" si="2"/>
        <v>2351.673126115651</v>
      </c>
      <c r="I48" s="64">
        <f t="shared" si="2"/>
        <v>95989.685986613753</v>
      </c>
    </row>
    <row r="49" spans="1:9">
      <c r="A49" s="65" t="s">
        <v>405</v>
      </c>
      <c r="B49" s="89">
        <v>1</v>
      </c>
      <c r="C49" s="58">
        <v>5</v>
      </c>
      <c r="D49" s="61">
        <f>IFERROR((($C49*st_DL)/st_ind!C49),0)</f>
        <v>169.83797535346841</v>
      </c>
      <c r="E49" s="61">
        <f>IFERROR((($C49*st_DL)/st_ind!D49),0)</f>
        <v>46030.040117440956</v>
      </c>
      <c r="F49" s="61">
        <f>IFERROR((($C49*st_DL)/st_ind!E49),0)</f>
        <v>498.11445833466217</v>
      </c>
      <c r="G49" s="61">
        <f>IFERROR((($C49*st_DL)/st_ind!F49),0)</f>
        <v>1.6101538348782468E-3</v>
      </c>
      <c r="H49" s="61">
        <f>IFERROR((($C49*st_DL)/st_ind!G49),0)</f>
        <v>667.95404384196547</v>
      </c>
      <c r="I49" s="61">
        <f>IFERROR((($C49*st_DL)/st_ind!H49),0)</f>
        <v>46199.879702948259</v>
      </c>
    </row>
    <row r="50" spans="1:9">
      <c r="A50" s="65" t="s">
        <v>406</v>
      </c>
      <c r="B50" s="89">
        <v>1</v>
      </c>
      <c r="C50" s="58">
        <v>5</v>
      </c>
      <c r="D50" s="61">
        <f>IFERROR((($C50*st_DL)/st_ind!C50),0)</f>
        <v>0</v>
      </c>
      <c r="E50" s="61">
        <f>IFERROR((($C50*st_DL)/st_ind!D50),0)</f>
        <v>7.9112244232285045</v>
      </c>
      <c r="F50" s="61">
        <f>IFERROR((($C50*st_DL)/st_ind!E50),0)</f>
        <v>8.5611380270061335E-2</v>
      </c>
      <c r="G50" s="61">
        <f>IFERROR((($C50*st_DL)/st_ind!F50),0)</f>
        <v>8.5160327705460591E-5</v>
      </c>
      <c r="H50" s="61">
        <f>IFERROR((($C50*st_DL)/st_ind!G50),0)</f>
        <v>8.5696540597766782E-2</v>
      </c>
      <c r="I50" s="61">
        <f>IFERROR((($C50*st_DL)/st_ind!H50),0)</f>
        <v>7.9113095835562106</v>
      </c>
    </row>
    <row r="51" spans="1:9">
      <c r="A51" s="65" t="s">
        <v>407</v>
      </c>
      <c r="B51" s="89">
        <v>1</v>
      </c>
      <c r="C51" s="58">
        <v>5</v>
      </c>
      <c r="D51" s="61">
        <f>IFERROR((($C51*st_DL)/st_ind!C51),0)</f>
        <v>0</v>
      </c>
      <c r="E51" s="61">
        <f>IFERROR((($C51*st_DL)/st_ind!D51),0)</f>
        <v>9.2035923824429293</v>
      </c>
      <c r="F51" s="61">
        <f>IFERROR((($C51*st_DL)/st_ind!E51),0)</f>
        <v>9.959675078746065E-2</v>
      </c>
      <c r="G51" s="61">
        <f>IFERROR((($C51*st_DL)/st_ind!F51),0)</f>
        <v>1.5546793033745714E-9</v>
      </c>
      <c r="H51" s="61">
        <f>IFERROR((($C51*st_DL)/st_ind!G51),0)</f>
        <v>9.9596752342139938E-2</v>
      </c>
      <c r="I51" s="61">
        <f>IFERROR((($C51*st_DL)/st_ind!H51),0)</f>
        <v>9.2035923839976093</v>
      </c>
    </row>
    <row r="52" spans="1:9">
      <c r="A52" s="65" t="s">
        <v>408</v>
      </c>
      <c r="B52" s="89">
        <v>0.99980000000000002</v>
      </c>
      <c r="C52" s="58">
        <v>5</v>
      </c>
      <c r="D52" s="61">
        <f>IFERROR((($C52*st_DL)/st_ind!C52),0)</f>
        <v>8.4295560994347443E-2</v>
      </c>
      <c r="E52" s="61">
        <f>IFERROR((($C52*st_DL)/st_ind!D52),0)</f>
        <v>56.27317946730134</v>
      </c>
      <c r="F52" s="61">
        <f>IFERROR((($C52*st_DL)/st_ind!E52),0)</f>
        <v>0.60896067519400621</v>
      </c>
      <c r="G52" s="61">
        <f>IFERROR((($C52*st_DL)/st_ind!F52),0)</f>
        <v>5.6905088456715998E-2</v>
      </c>
      <c r="H52" s="61">
        <f>IFERROR((($C52*st_DL)/st_ind!G52),0)</f>
        <v>0.75016132464506968</v>
      </c>
      <c r="I52" s="61">
        <f>IFERROR((($C52*st_DL)/st_ind!H52),0)</f>
        <v>56.414380116752405</v>
      </c>
    </row>
    <row r="53" spans="1:9">
      <c r="A53" s="65" t="s">
        <v>409</v>
      </c>
      <c r="B53" s="89">
        <v>2.0000000000000001E-4</v>
      </c>
      <c r="C53" s="58">
        <v>5</v>
      </c>
      <c r="D53" s="61">
        <f>IFERROR((($C53*st_DL)/st_ind!C53),0)</f>
        <v>0</v>
      </c>
      <c r="E53" s="61">
        <f>IFERROR((($C53*st_DL)/st_ind!D53),0)</f>
        <v>0</v>
      </c>
      <c r="F53" s="61">
        <f>IFERROR((($C53*st_DL)/st_ind!E53),0)</f>
        <v>0</v>
      </c>
      <c r="G53" s="61">
        <f>IFERROR((($C53*st_DL)/st_ind!F53),0)</f>
        <v>5.8446590352427489E-9</v>
      </c>
      <c r="H53" s="61">
        <f>IFERROR((($C53*st_DL)/st_ind!G53),0)</f>
        <v>5.8446590352427489E-9</v>
      </c>
      <c r="I53" s="61">
        <f>IFERROR((($C53*st_DL)/st_ind!H53),0)</f>
        <v>5.8446590352427489E-9</v>
      </c>
    </row>
    <row r="54" spans="1:9">
      <c r="A54" s="65" t="s">
        <v>410</v>
      </c>
      <c r="B54" s="89">
        <v>0.99999979999999999</v>
      </c>
      <c r="C54" s="58">
        <v>5</v>
      </c>
      <c r="D54" s="61">
        <f>IFERROR((($C54*st_DL)/st_ind!C54),0)</f>
        <v>6.793517655434933E-2</v>
      </c>
      <c r="E54" s="61">
        <f>IFERROR((($C54*st_DL)/st_ind!D54),0)</f>
        <v>44.20622228702296</v>
      </c>
      <c r="F54" s="61">
        <f>IFERROR((($C54*st_DL)/st_ind!E54),0)</f>
        <v>0.47837799865785363</v>
      </c>
      <c r="G54" s="61">
        <f>IFERROR((($C54*st_DL)/st_ind!F54),0)</f>
        <v>0.31938124990865524</v>
      </c>
      <c r="H54" s="61">
        <f>IFERROR((($C54*st_DL)/st_ind!G54),0)</f>
        <v>0.86569442512085815</v>
      </c>
      <c r="I54" s="61">
        <f>IFERROR((($C54*st_DL)/st_ind!H54),0)</f>
        <v>44.59353871348597</v>
      </c>
    </row>
    <row r="55" spans="1:9">
      <c r="A55" s="65" t="s">
        <v>411</v>
      </c>
      <c r="B55" s="89">
        <v>1.9999999999999999E-7</v>
      </c>
      <c r="C55" s="58">
        <v>5</v>
      </c>
      <c r="D55" s="61">
        <f>IFERROR((($C55*st_DL)/st_ind!C55),0)</f>
        <v>0</v>
      </c>
      <c r="E55" s="61">
        <f>IFERROR((($C55*st_DL)/st_ind!D55),0)</f>
        <v>0</v>
      </c>
      <c r="F55" s="61">
        <f>IFERROR((($C55*st_DL)/st_ind!E55),0)</f>
        <v>0</v>
      </c>
      <c r="G55" s="61">
        <f>IFERROR((($C55*st_DL)/st_ind!F55),0)</f>
        <v>3.3328531072416614E-11</v>
      </c>
      <c r="H55" s="61">
        <f>IFERROR((($C55*st_DL)/st_ind!G55),0)</f>
        <v>3.3328531072416614E-11</v>
      </c>
      <c r="I55" s="61">
        <f>IFERROR((($C55*st_DL)/st_ind!H55),0)</f>
        <v>3.3328531072416614E-11</v>
      </c>
    </row>
    <row r="56" spans="1:9">
      <c r="A56" s="65" t="s">
        <v>412</v>
      </c>
      <c r="B56" s="89">
        <v>0.99979000004200003</v>
      </c>
      <c r="C56" s="58">
        <v>5</v>
      </c>
      <c r="D56" s="61">
        <f>IFERROR((($C56*st_DL)/st_ind!C56),0)</f>
        <v>0</v>
      </c>
      <c r="E56" s="61">
        <f>IFERROR((($C56*st_DL)/st_ind!D56),0)</f>
        <v>0</v>
      </c>
      <c r="F56" s="61">
        <f>IFERROR((($C56*st_DL)/st_ind!E56),0)</f>
        <v>0</v>
      </c>
      <c r="G56" s="61">
        <f>IFERROR((($C56*st_DL)/st_ind!F56),0)</f>
        <v>1.7970153021552758E-5</v>
      </c>
      <c r="H56" s="61">
        <f>IFERROR((($C56*st_DL)/st_ind!G56),0)</f>
        <v>1.7970153021552758E-5</v>
      </c>
      <c r="I56" s="61">
        <f>IFERROR((($C56*st_DL)/st_ind!H56),0)</f>
        <v>1.7970153021552758E-5</v>
      </c>
    </row>
    <row r="57" spans="1:9">
      <c r="A57" s="65" t="s">
        <v>413</v>
      </c>
      <c r="B57" s="89">
        <v>2.0999995799999999E-4</v>
      </c>
      <c r="C57" s="58">
        <v>5</v>
      </c>
      <c r="D57" s="61">
        <f>IFERROR((($C57*st_DL)/st_ind!C57),0)</f>
        <v>0</v>
      </c>
      <c r="E57" s="61">
        <f>IFERROR((($C57*st_DL)/st_ind!D57),0)</f>
        <v>0</v>
      </c>
      <c r="F57" s="61">
        <f>IFERROR((($C57*st_DL)/st_ind!E57),0)</f>
        <v>0</v>
      </c>
      <c r="G57" s="61">
        <f>IFERROR((($C57*st_DL)/st_ind!F57),0)</f>
        <v>1.2572508476864429E-4</v>
      </c>
      <c r="H57" s="61">
        <f>IFERROR((($C57*st_DL)/st_ind!G57),0)</f>
        <v>1.2572508476864431E-4</v>
      </c>
      <c r="I57" s="61">
        <f>IFERROR((($C57*st_DL)/st_ind!H57),0)</f>
        <v>1.2572508476864431E-4</v>
      </c>
    </row>
    <row r="58" spans="1:9">
      <c r="A58" s="65" t="s">
        <v>414</v>
      </c>
      <c r="B58" s="89">
        <v>1</v>
      </c>
      <c r="C58" s="58">
        <v>5</v>
      </c>
      <c r="D58" s="61">
        <f>IFERROR((($C58*st_DL)/st_ind!C58),0)</f>
        <v>422.16868159290721</v>
      </c>
      <c r="E58" s="61">
        <f>IFERROR((($C58*st_DL)/st_ind!D58),0)</f>
        <v>26947.68368040476</v>
      </c>
      <c r="F58" s="61">
        <f>IFERROR((($C58*st_DL)/st_ind!E58),0)</f>
        <v>291.61458094737992</v>
      </c>
      <c r="G58" s="61">
        <f>IFERROR((($C58*st_DL)/st_ind!F58),0)</f>
        <v>5.6368489362118958E-4</v>
      </c>
      <c r="H58" s="61">
        <f>IFERROR((($C58*st_DL)/st_ind!G58),0)</f>
        <v>713.78382622518063</v>
      </c>
      <c r="I58" s="61">
        <f>IFERROR((($C58*st_DL)/st_ind!H58),0)</f>
        <v>27369.852925682557</v>
      </c>
    </row>
    <row r="59" spans="1:9">
      <c r="A59" s="65" t="s">
        <v>415</v>
      </c>
      <c r="B59" s="89">
        <v>1</v>
      </c>
      <c r="C59" s="58">
        <v>5</v>
      </c>
      <c r="D59" s="61">
        <f>IFERROR((($C59*st_DL)/st_ind!C59),0)</f>
        <v>0.79459909897515579</v>
      </c>
      <c r="E59" s="61">
        <f>IFERROR((($C59*st_DL)/st_ind!D59),0)</f>
        <v>652.46464632489131</v>
      </c>
      <c r="F59" s="61">
        <f>IFERROR((($C59*st_DL)/st_ind!E59),0)</f>
        <v>7.060651545326281</v>
      </c>
      <c r="G59" s="61">
        <f>IFERROR((($C59*st_DL)/st_ind!F59),0)</f>
        <v>8.2968561253577398E-3</v>
      </c>
      <c r="H59" s="61">
        <f>IFERROR((($C59*st_DL)/st_ind!G59),0)</f>
        <v>7.8635475004267938</v>
      </c>
      <c r="I59" s="61">
        <f>IFERROR((($C59*st_DL)/st_ind!H59),0)</f>
        <v>653.26754227999186</v>
      </c>
    </row>
    <row r="60" spans="1:9">
      <c r="A60" s="65" t="s">
        <v>416</v>
      </c>
      <c r="B60" s="91">
        <v>1.9000000000000001E-8</v>
      </c>
      <c r="C60" s="58">
        <v>5</v>
      </c>
      <c r="D60" s="61">
        <f>IFERROR((($C60*st_DL)/st_ind!C60),0)</f>
        <v>0</v>
      </c>
      <c r="E60" s="61">
        <f>IFERROR((($C60*st_DL)/st_ind!D60),0)</f>
        <v>0</v>
      </c>
      <c r="F60" s="61">
        <f>IFERROR((($C60*st_DL)/st_ind!E60),0)</f>
        <v>0</v>
      </c>
      <c r="G60" s="61">
        <f>IFERROR((($C60*st_DL)/st_ind!F60),0)</f>
        <v>6.632026639753286E-10</v>
      </c>
      <c r="H60" s="61">
        <f>IFERROR((($C60*st_DL)/st_ind!G60),0)</f>
        <v>6.632026639753286E-10</v>
      </c>
      <c r="I60" s="61">
        <f>IFERROR((($C60*st_DL)/st_ind!H60),0)</f>
        <v>6.632026639753286E-10</v>
      </c>
    </row>
    <row r="61" spans="1:9">
      <c r="A61" s="65" t="s">
        <v>417</v>
      </c>
      <c r="B61" s="89">
        <v>1</v>
      </c>
      <c r="C61" s="58">
        <v>5</v>
      </c>
      <c r="D61" s="61">
        <f>IFERROR((($C61*st_DL)/st_ind!C61),0)</f>
        <v>733.94267920605989</v>
      </c>
      <c r="E61" s="61">
        <f>IFERROR((($C61*st_DL)/st_ind!D61),0)</f>
        <v>20914.620169866383</v>
      </c>
      <c r="F61" s="61">
        <f>IFERROR((($C61*st_DL)/st_ind!E61),0)</f>
        <v>226.32773446662324</v>
      </c>
      <c r="G61" s="61">
        <f>IFERROR((($C61*st_DL)/st_ind!F61),0)</f>
        <v>2.1108574974439053E-6</v>
      </c>
      <c r="H61" s="61">
        <f>IFERROR((($C61*st_DL)/st_ind!G61),0)</f>
        <v>960.27041578354067</v>
      </c>
      <c r="I61" s="61">
        <f>IFERROR((($C61*st_DL)/st_ind!H61),0)</f>
        <v>21648.562851183302</v>
      </c>
    </row>
    <row r="62" spans="1:9">
      <c r="A62" s="65" t="s">
        <v>418</v>
      </c>
      <c r="B62" s="89">
        <v>1.339E-6</v>
      </c>
      <c r="C62" s="58">
        <v>5</v>
      </c>
      <c r="D62" s="61">
        <f>IFERROR((($C62*st_DL)/st_ind!C62),0)</f>
        <v>0</v>
      </c>
      <c r="E62" s="61">
        <f>IFERROR((($C62*st_DL)/st_ind!D62),0)</f>
        <v>0</v>
      </c>
      <c r="F62" s="61">
        <f>IFERROR((($C62*st_DL)/st_ind!E62),0)</f>
        <v>0</v>
      </c>
      <c r="G62" s="61">
        <f>IFERROR((($C62*st_DL)/st_ind!F62),0)</f>
        <v>2.0052703270144915E-8</v>
      </c>
      <c r="H62" s="61">
        <f>IFERROR((($C62*st_DL)/st_ind!G62),0)</f>
        <v>2.0052703270144915E-8</v>
      </c>
      <c r="I62" s="61">
        <f>IFERROR((($C62*st_DL)/st_ind!H62),0)</f>
        <v>2.0052703270144915E-8</v>
      </c>
    </row>
    <row r="63" spans="1:9">
      <c r="A63" s="63" t="s">
        <v>30</v>
      </c>
      <c r="B63" s="82" t="s">
        <v>6</v>
      </c>
      <c r="C63" s="58">
        <v>5</v>
      </c>
      <c r="D63" s="64">
        <f>SUM(D64:D76)</f>
        <v>1157.058190635491</v>
      </c>
      <c r="E63" s="64">
        <f t="shared" ref="E63:I63" si="3">SUM(E64:E76)</f>
        <v>48632.362715156029</v>
      </c>
      <c r="F63" s="64">
        <f t="shared" si="3"/>
        <v>526.27551376423878</v>
      </c>
      <c r="G63" s="64">
        <f t="shared" si="3"/>
        <v>0.38537787395591611</v>
      </c>
      <c r="H63" s="64">
        <f t="shared" si="3"/>
        <v>1683.7190822736857</v>
      </c>
      <c r="I63" s="64">
        <f t="shared" si="3"/>
        <v>49789.806283665472</v>
      </c>
    </row>
    <row r="64" spans="1:9">
      <c r="A64" s="65" t="s">
        <v>406</v>
      </c>
      <c r="B64" s="89">
        <v>1</v>
      </c>
      <c r="C64" s="58">
        <v>5</v>
      </c>
      <c r="D64" s="61">
        <f>IFERROR((($C64*st_DL)/st_ind!C64),0)</f>
        <v>0</v>
      </c>
      <c r="E64" s="61">
        <f>IFERROR((($C64*st_DL)/st_ind!D64),0)</f>
        <v>7.9112244232285045</v>
      </c>
      <c r="F64" s="61">
        <f>IFERROR((($C64*st_DL)/st_ind!E64),0)</f>
        <v>8.5611380270061335E-2</v>
      </c>
      <c r="G64" s="61">
        <f>IFERROR((($C64*st_DL)/st_ind!F64),0)</f>
        <v>8.5160327705460591E-5</v>
      </c>
      <c r="H64" s="61">
        <f>IFERROR((($C64*st_DL)/st_ind!G64),0)</f>
        <v>8.5696540597766782E-2</v>
      </c>
      <c r="I64" s="61">
        <f>IFERROR((($C64*st_DL)/st_ind!H64),0)</f>
        <v>7.9113095835562106</v>
      </c>
    </row>
    <row r="65" spans="1:9">
      <c r="A65" s="65" t="s">
        <v>407</v>
      </c>
      <c r="B65" s="89">
        <v>1</v>
      </c>
      <c r="C65" s="58">
        <v>5</v>
      </c>
      <c r="D65" s="61">
        <f>IFERROR((($C65*st_DL)/st_ind!C65),0)</f>
        <v>0</v>
      </c>
      <c r="E65" s="61">
        <f>IFERROR((($C65*st_DL)/st_ind!D65),0)</f>
        <v>9.2035923824429293</v>
      </c>
      <c r="F65" s="61">
        <f>IFERROR((($C65*st_DL)/st_ind!E65),0)</f>
        <v>9.959675078746065E-2</v>
      </c>
      <c r="G65" s="61">
        <f>IFERROR((($C65*st_DL)/st_ind!F65),0)</f>
        <v>1.5546793033745714E-9</v>
      </c>
      <c r="H65" s="61">
        <f>IFERROR((($C65*st_DL)/st_ind!G65),0)</f>
        <v>9.9596752342139938E-2</v>
      </c>
      <c r="I65" s="61">
        <f>IFERROR((($C65*st_DL)/st_ind!H65),0)</f>
        <v>9.2035923839976093</v>
      </c>
    </row>
    <row r="66" spans="1:9">
      <c r="A66" s="65" t="s">
        <v>408</v>
      </c>
      <c r="B66" s="89">
        <v>0.99980000000000002</v>
      </c>
      <c r="C66" s="58">
        <v>5</v>
      </c>
      <c r="D66" s="61">
        <f>IFERROR((($C66*st_DL)/st_ind!C66),0)</f>
        <v>8.4295560994347443E-2</v>
      </c>
      <c r="E66" s="61">
        <f>IFERROR((($C66*st_DL)/st_ind!D66),0)</f>
        <v>56.27317946730134</v>
      </c>
      <c r="F66" s="61">
        <f>IFERROR((($C66*st_DL)/st_ind!E66),0)</f>
        <v>0.60896067519400621</v>
      </c>
      <c r="G66" s="61">
        <f>IFERROR((($C66*st_DL)/st_ind!F66),0)</f>
        <v>5.6905088456715998E-2</v>
      </c>
      <c r="H66" s="61">
        <f>IFERROR((($C66*st_DL)/st_ind!G66),0)</f>
        <v>0.75016132464506968</v>
      </c>
      <c r="I66" s="61">
        <f>IFERROR((($C66*st_DL)/st_ind!H66),0)</f>
        <v>56.414380116752405</v>
      </c>
    </row>
    <row r="67" spans="1:9">
      <c r="A67" s="65" t="s">
        <v>409</v>
      </c>
      <c r="B67" s="89">
        <v>2.0000000000000001E-4</v>
      </c>
      <c r="C67" s="58">
        <v>5</v>
      </c>
      <c r="D67" s="61">
        <f>IFERROR((($C67*st_DL)/st_ind!C67),0)</f>
        <v>0</v>
      </c>
      <c r="E67" s="61">
        <f>IFERROR((($C67*st_DL)/st_ind!D67),0)</f>
        <v>0</v>
      </c>
      <c r="F67" s="61">
        <f>IFERROR((($C67*st_DL)/st_ind!E67),0)</f>
        <v>0</v>
      </c>
      <c r="G67" s="61">
        <f>IFERROR((($C67*st_DL)/st_ind!F67),0)</f>
        <v>5.8446590352427489E-9</v>
      </c>
      <c r="H67" s="61">
        <f>IFERROR((($C67*st_DL)/st_ind!G67),0)</f>
        <v>5.8446590352427489E-9</v>
      </c>
      <c r="I67" s="61">
        <f>IFERROR((($C67*st_DL)/st_ind!H67),0)</f>
        <v>5.8446590352427489E-9</v>
      </c>
    </row>
    <row r="68" spans="1:9">
      <c r="A68" s="65" t="s">
        <v>410</v>
      </c>
      <c r="B68" s="89">
        <v>0.99999979999999999</v>
      </c>
      <c r="C68" s="58">
        <v>5</v>
      </c>
      <c r="D68" s="61">
        <f>IFERROR((($C68*st_DL)/st_ind!C68),0)</f>
        <v>6.793517655434933E-2</v>
      </c>
      <c r="E68" s="61">
        <f>IFERROR((($C68*st_DL)/st_ind!D68),0)</f>
        <v>44.20622228702296</v>
      </c>
      <c r="F68" s="61">
        <f>IFERROR((($C68*st_DL)/st_ind!E68),0)</f>
        <v>0.47837799865785363</v>
      </c>
      <c r="G68" s="61">
        <f>IFERROR((($C68*st_DL)/st_ind!F68),0)</f>
        <v>0.31938124990865524</v>
      </c>
      <c r="H68" s="61">
        <f>IFERROR((($C68*st_DL)/st_ind!G68),0)</f>
        <v>0.86569442512085815</v>
      </c>
      <c r="I68" s="61">
        <f>IFERROR((($C68*st_DL)/st_ind!H68),0)</f>
        <v>44.59353871348597</v>
      </c>
    </row>
    <row r="69" spans="1:9">
      <c r="A69" s="65" t="s">
        <v>411</v>
      </c>
      <c r="B69" s="89">
        <v>1.9999999999999999E-7</v>
      </c>
      <c r="C69" s="58">
        <v>5</v>
      </c>
      <c r="D69" s="61">
        <f>IFERROR((($C69*st_DL)/st_ind!C69),0)</f>
        <v>0</v>
      </c>
      <c r="E69" s="61">
        <f>IFERROR((($C69*st_DL)/st_ind!D69),0)</f>
        <v>0</v>
      </c>
      <c r="F69" s="61">
        <f>IFERROR((($C69*st_DL)/st_ind!E69),0)</f>
        <v>0</v>
      </c>
      <c r="G69" s="61">
        <f>IFERROR((($C69*st_DL)/st_ind!F69),0)</f>
        <v>3.3328531072416614E-11</v>
      </c>
      <c r="H69" s="61">
        <f>IFERROR((($C69*st_DL)/st_ind!G69),0)</f>
        <v>3.3328531072416614E-11</v>
      </c>
      <c r="I69" s="61">
        <f>IFERROR((($C69*st_DL)/st_ind!H69),0)</f>
        <v>3.3328531072416614E-11</v>
      </c>
    </row>
    <row r="70" spans="1:9">
      <c r="A70" s="65" t="s">
        <v>412</v>
      </c>
      <c r="B70" s="89">
        <v>0.99979000004200003</v>
      </c>
      <c r="C70" s="58">
        <v>5</v>
      </c>
      <c r="D70" s="61">
        <f>IFERROR((($C70*st_DL)/st_ind!C70),0)</f>
        <v>0</v>
      </c>
      <c r="E70" s="61">
        <f>IFERROR((($C70*st_DL)/st_ind!D70),0)</f>
        <v>0</v>
      </c>
      <c r="F70" s="61">
        <f>IFERROR((($C70*st_DL)/st_ind!E70),0)</f>
        <v>0</v>
      </c>
      <c r="G70" s="61">
        <f>IFERROR((($C70*st_DL)/st_ind!F70),0)</f>
        <v>1.7970153021552758E-5</v>
      </c>
      <c r="H70" s="61">
        <f>IFERROR((($C70*st_DL)/st_ind!G70),0)</f>
        <v>1.7970153021552758E-5</v>
      </c>
      <c r="I70" s="61">
        <f>IFERROR((($C70*st_DL)/st_ind!H70),0)</f>
        <v>1.7970153021552758E-5</v>
      </c>
    </row>
    <row r="71" spans="1:9">
      <c r="A71" s="65" t="s">
        <v>413</v>
      </c>
      <c r="B71" s="89">
        <v>2.0999995799999999E-4</v>
      </c>
      <c r="C71" s="58">
        <v>5</v>
      </c>
      <c r="D71" s="61">
        <f>IFERROR((($C71*st_DL)/st_ind!C71),0)</f>
        <v>0</v>
      </c>
      <c r="E71" s="61">
        <f>IFERROR((($C71*st_DL)/st_ind!D71),0)</f>
        <v>0</v>
      </c>
      <c r="F71" s="61">
        <f>IFERROR((($C71*st_DL)/st_ind!E71),0)</f>
        <v>0</v>
      </c>
      <c r="G71" s="61">
        <f>IFERROR((($C71*st_DL)/st_ind!F71),0)</f>
        <v>1.2572508476864429E-4</v>
      </c>
      <c r="H71" s="61">
        <f>IFERROR((($C71*st_DL)/st_ind!G71),0)</f>
        <v>1.2572508476864431E-4</v>
      </c>
      <c r="I71" s="61">
        <f>IFERROR((($C71*st_DL)/st_ind!H71),0)</f>
        <v>1.2572508476864431E-4</v>
      </c>
    </row>
    <row r="72" spans="1:9">
      <c r="A72" s="65" t="s">
        <v>414</v>
      </c>
      <c r="B72" s="89">
        <v>1</v>
      </c>
      <c r="C72" s="58">
        <v>5</v>
      </c>
      <c r="D72" s="61">
        <f>IFERROR((($C72*st_DL)/st_ind!C72),0)</f>
        <v>422.16868159290721</v>
      </c>
      <c r="E72" s="61">
        <f>IFERROR((($C72*st_DL)/st_ind!D72),0)</f>
        <v>26947.68368040476</v>
      </c>
      <c r="F72" s="61">
        <f>IFERROR((($C72*st_DL)/st_ind!E72),0)</f>
        <v>291.61458094737992</v>
      </c>
      <c r="G72" s="61">
        <f>IFERROR((($C72*st_DL)/st_ind!F72),0)</f>
        <v>5.6368489362118958E-4</v>
      </c>
      <c r="H72" s="61">
        <f>IFERROR((($C72*st_DL)/st_ind!G72),0)</f>
        <v>713.78382622518063</v>
      </c>
      <c r="I72" s="61">
        <f>IFERROR((($C72*st_DL)/st_ind!H72),0)</f>
        <v>27369.852925682557</v>
      </c>
    </row>
    <row r="73" spans="1:9">
      <c r="A73" s="65" t="s">
        <v>415</v>
      </c>
      <c r="B73" s="89">
        <v>1</v>
      </c>
      <c r="C73" s="58">
        <v>5</v>
      </c>
      <c r="D73" s="61">
        <f>IFERROR((($C73*st_DL)/st_ind!C73),0)</f>
        <v>0.79459909897515579</v>
      </c>
      <c r="E73" s="61">
        <f>IFERROR((($C73*st_DL)/st_ind!D73),0)</f>
        <v>652.46464632489131</v>
      </c>
      <c r="F73" s="61">
        <f>IFERROR((($C73*st_DL)/st_ind!E73),0)</f>
        <v>7.060651545326281</v>
      </c>
      <c r="G73" s="61">
        <f>IFERROR((($C73*st_DL)/st_ind!F73),0)</f>
        <v>8.2968561253577398E-3</v>
      </c>
      <c r="H73" s="61">
        <f>IFERROR((($C73*st_DL)/st_ind!G73),0)</f>
        <v>7.8635475004267938</v>
      </c>
      <c r="I73" s="61">
        <f>IFERROR((($C73*st_DL)/st_ind!H73),0)</f>
        <v>653.26754227999186</v>
      </c>
    </row>
    <row r="74" spans="1:9">
      <c r="A74" s="65" t="s">
        <v>416</v>
      </c>
      <c r="B74" s="91">
        <v>1.9000000000000001E-8</v>
      </c>
      <c r="C74" s="58">
        <v>5</v>
      </c>
      <c r="D74" s="61">
        <f>IFERROR((($C74*st_DL)/st_ind!C74),0)</f>
        <v>0</v>
      </c>
      <c r="E74" s="61">
        <f>IFERROR((($C74*st_DL)/st_ind!D74),0)</f>
        <v>0</v>
      </c>
      <c r="F74" s="61">
        <f>IFERROR((($C74*st_DL)/st_ind!E74),0)</f>
        <v>0</v>
      </c>
      <c r="G74" s="61">
        <f>IFERROR((($C74*st_DL)/st_ind!F74),0)</f>
        <v>6.632026639753286E-10</v>
      </c>
      <c r="H74" s="61">
        <f>IFERROR((($C74*st_DL)/st_ind!G74),0)</f>
        <v>6.632026639753286E-10</v>
      </c>
      <c r="I74" s="61">
        <f>IFERROR((($C74*st_DL)/st_ind!H74),0)</f>
        <v>6.632026639753286E-10</v>
      </c>
    </row>
    <row r="75" spans="1:9">
      <c r="A75" s="65" t="s">
        <v>417</v>
      </c>
      <c r="B75" s="89">
        <v>1</v>
      </c>
      <c r="C75" s="58">
        <v>5</v>
      </c>
      <c r="D75" s="61">
        <f>IFERROR((($C75*st_DL)/st_ind!C75),0)</f>
        <v>733.94267920605989</v>
      </c>
      <c r="E75" s="61">
        <f>IFERROR((($C75*st_DL)/st_ind!D75),0)</f>
        <v>20914.620169866383</v>
      </c>
      <c r="F75" s="61">
        <f>IFERROR((($C75*st_DL)/st_ind!E75),0)</f>
        <v>226.32773446662324</v>
      </c>
      <c r="G75" s="61">
        <f>IFERROR((($C75*st_DL)/st_ind!F75),0)</f>
        <v>2.1108574974439053E-6</v>
      </c>
      <c r="H75" s="61">
        <f>IFERROR((($C75*st_DL)/st_ind!G75),0)</f>
        <v>960.27041578354067</v>
      </c>
      <c r="I75" s="61">
        <f>IFERROR((($C75*st_DL)/st_ind!H75),0)</f>
        <v>21648.562851183302</v>
      </c>
    </row>
    <row r="76" spans="1:9">
      <c r="A76" s="65" t="s">
        <v>418</v>
      </c>
      <c r="B76" s="89">
        <v>1.339E-6</v>
      </c>
      <c r="C76" s="58">
        <v>5</v>
      </c>
      <c r="D76" s="61">
        <f>IFERROR((($C76*st_DL)/st_ind!C76),0)</f>
        <v>0</v>
      </c>
      <c r="E76" s="61">
        <f>IFERROR((($C76*st_DL)/st_ind!D76),0)</f>
        <v>0</v>
      </c>
      <c r="F76" s="61">
        <f>IFERROR((($C76*st_DL)/st_ind!E76),0)</f>
        <v>0</v>
      </c>
      <c r="G76" s="61">
        <f>IFERROR((($C76*st_DL)/st_ind!F76),0)</f>
        <v>2.0052703270144915E-8</v>
      </c>
      <c r="H76" s="61">
        <f>IFERROR((($C76*st_DL)/st_ind!G76),0)</f>
        <v>2.0052703270144915E-8</v>
      </c>
      <c r="I76" s="61">
        <f>IFERROR((($C76*st_DL)/st_ind!H76),0)</f>
        <v>2.0052703270144915E-8</v>
      </c>
    </row>
  </sheetData>
  <sheetProtection algorithmName="SHA-512" hashValue="nctdPFBtp4a1aYA6k9+ETqsSd5zuaIJymUQz7KC3GLhECyyn5AiHe0wmr0qq+lYzELoudYg5yKy06ffJLi/4uw==" saltValue="nahbvc4Z1yegD9+5Z4T3aA==" spinCount="100000" sheet="1" objects="1" scenarios="1"/>
  <autoFilter ref="A1:I76" xr:uid="{00000000-0009-0000-0000-00000F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79998168889431442"/>
  </sheetPr>
  <dimension ref="A1:I76"/>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4.25"/>
  <cols>
    <col min="1" max="1" width="12.59765625" style="4" bestFit="1" customWidth="1"/>
    <col min="2" max="2" width="12" style="77" bestFit="1" customWidth="1"/>
    <col min="3" max="3" width="8.1328125" style="4" bestFit="1" customWidth="1"/>
    <col min="4" max="4" width="15.3984375" style="4" bestFit="1" customWidth="1"/>
    <col min="5" max="5" width="18.265625" style="4" bestFit="1" customWidth="1"/>
    <col min="6" max="6" width="18.1328125" style="4" bestFit="1" customWidth="1"/>
    <col min="7" max="7" width="15.3984375" style="4" bestFit="1" customWidth="1"/>
    <col min="8" max="8" width="17" style="4" bestFit="1" customWidth="1"/>
    <col min="9" max="9" width="17.1328125" style="4" bestFit="1" customWidth="1"/>
    <col min="10" max="246" width="9.1328125" style="4"/>
    <col min="247" max="247" width="15.3984375" style="4" bestFit="1" customWidth="1"/>
    <col min="248" max="248" width="11.1328125" style="4" bestFit="1" customWidth="1"/>
    <col min="249" max="249" width="14.59765625" style="4" bestFit="1" customWidth="1"/>
    <col min="250" max="250" width="17.3984375" style="4" bestFit="1" customWidth="1"/>
    <col min="251" max="251" width="17.59765625" style="4" bestFit="1" customWidth="1"/>
    <col min="252" max="252" width="14.73046875" style="4" bestFit="1" customWidth="1"/>
    <col min="253" max="253" width="14.3984375" style="4" bestFit="1" customWidth="1"/>
    <col min="254" max="254" width="12.1328125" style="4" bestFit="1" customWidth="1"/>
    <col min="255" max="255" width="12.3984375" style="4" bestFit="1" customWidth="1"/>
    <col min="256" max="257" width="13.86328125" style="4" bestFit="1" customWidth="1"/>
    <col min="258" max="258" width="14.86328125" style="4" bestFit="1" customWidth="1"/>
    <col min="259" max="259" width="12.1328125" style="4" bestFit="1" customWidth="1"/>
    <col min="260" max="260" width="12.3984375" style="4" bestFit="1" customWidth="1"/>
    <col min="261" max="262" width="13.86328125" style="4" bestFit="1" customWidth="1"/>
    <col min="263" max="263" width="14.86328125" style="4" bestFit="1" customWidth="1"/>
    <col min="264" max="502" width="9.1328125" style="4"/>
    <col min="503" max="503" width="15.3984375" style="4" bestFit="1" customWidth="1"/>
    <col min="504" max="504" width="11.1328125" style="4" bestFit="1" customWidth="1"/>
    <col min="505" max="505" width="14.59765625" style="4" bestFit="1" customWidth="1"/>
    <col min="506" max="506" width="17.3984375" style="4" bestFit="1" customWidth="1"/>
    <col min="507" max="507" width="17.59765625" style="4" bestFit="1" customWidth="1"/>
    <col min="508" max="508" width="14.73046875" style="4" bestFit="1" customWidth="1"/>
    <col min="509" max="509" width="14.3984375" style="4" bestFit="1" customWidth="1"/>
    <col min="510" max="510" width="12.1328125" style="4" bestFit="1" customWidth="1"/>
    <col min="511" max="511" width="12.3984375" style="4" bestFit="1" customWidth="1"/>
    <col min="512" max="513" width="13.86328125" style="4" bestFit="1" customWidth="1"/>
    <col min="514" max="514" width="14.86328125" style="4" bestFit="1" customWidth="1"/>
    <col min="515" max="515" width="12.1328125" style="4" bestFit="1" customWidth="1"/>
    <col min="516" max="516" width="12.3984375" style="4" bestFit="1" customWidth="1"/>
    <col min="517" max="518" width="13.86328125" style="4" bestFit="1" customWidth="1"/>
    <col min="519" max="519" width="14.86328125" style="4" bestFit="1" customWidth="1"/>
    <col min="520" max="758" width="9.1328125" style="4"/>
    <col min="759" max="759" width="15.3984375" style="4" bestFit="1" customWidth="1"/>
    <col min="760" max="760" width="11.1328125" style="4" bestFit="1" customWidth="1"/>
    <col min="761" max="761" width="14.59765625" style="4" bestFit="1" customWidth="1"/>
    <col min="762" max="762" width="17.3984375" style="4" bestFit="1" customWidth="1"/>
    <col min="763" max="763" width="17.59765625" style="4" bestFit="1" customWidth="1"/>
    <col min="764" max="764" width="14.73046875" style="4" bestFit="1" customWidth="1"/>
    <col min="765" max="765" width="14.3984375" style="4" bestFit="1" customWidth="1"/>
    <col min="766" max="766" width="12.1328125" style="4" bestFit="1" customWidth="1"/>
    <col min="767" max="767" width="12.3984375" style="4" bestFit="1" customWidth="1"/>
    <col min="768" max="769" width="13.86328125" style="4" bestFit="1" customWidth="1"/>
    <col min="770" max="770" width="14.86328125" style="4" bestFit="1" customWidth="1"/>
    <col min="771" max="771" width="12.1328125" style="4" bestFit="1" customWidth="1"/>
    <col min="772" max="772" width="12.3984375" style="4" bestFit="1" customWidth="1"/>
    <col min="773" max="774" width="13.86328125" style="4" bestFit="1" customWidth="1"/>
    <col min="775" max="775" width="14.86328125" style="4" bestFit="1" customWidth="1"/>
    <col min="776" max="1014" width="9.1328125" style="4"/>
    <col min="1015" max="1015" width="15.3984375" style="4" bestFit="1" customWidth="1"/>
    <col min="1016" max="1016" width="11.1328125" style="4" bestFit="1" customWidth="1"/>
    <col min="1017" max="1017" width="14.59765625" style="4" bestFit="1" customWidth="1"/>
    <col min="1018" max="1018" width="17.3984375" style="4" bestFit="1" customWidth="1"/>
    <col min="1019" max="1019" width="17.59765625" style="4" bestFit="1" customWidth="1"/>
    <col min="1020" max="1020" width="14.73046875" style="4" bestFit="1" customWidth="1"/>
    <col min="1021" max="1021" width="14.3984375" style="4" bestFit="1" customWidth="1"/>
    <col min="1022" max="1022" width="12.1328125" style="4" bestFit="1" customWidth="1"/>
    <col min="1023" max="1023" width="12.3984375" style="4" bestFit="1" customWidth="1"/>
    <col min="1024" max="1025" width="13.86328125" style="4" bestFit="1" customWidth="1"/>
    <col min="1026" max="1026" width="14.86328125" style="4" bestFit="1" customWidth="1"/>
    <col min="1027" max="1027" width="12.1328125" style="4" bestFit="1" customWidth="1"/>
    <col min="1028" max="1028" width="12.3984375" style="4" bestFit="1" customWidth="1"/>
    <col min="1029" max="1030" width="13.86328125" style="4" bestFit="1" customWidth="1"/>
    <col min="1031" max="1031" width="14.86328125" style="4" bestFit="1" customWidth="1"/>
    <col min="1032" max="1270" width="9.1328125" style="4"/>
    <col min="1271" max="1271" width="15.3984375" style="4" bestFit="1" customWidth="1"/>
    <col min="1272" max="1272" width="11.1328125" style="4" bestFit="1" customWidth="1"/>
    <col min="1273" max="1273" width="14.59765625" style="4" bestFit="1" customWidth="1"/>
    <col min="1274" max="1274" width="17.3984375" style="4" bestFit="1" customWidth="1"/>
    <col min="1275" max="1275" width="17.59765625" style="4" bestFit="1" customWidth="1"/>
    <col min="1276" max="1276" width="14.73046875" style="4" bestFit="1" customWidth="1"/>
    <col min="1277" max="1277" width="14.3984375" style="4" bestFit="1" customWidth="1"/>
    <col min="1278" max="1278" width="12.1328125" style="4" bestFit="1" customWidth="1"/>
    <col min="1279" max="1279" width="12.3984375" style="4" bestFit="1" customWidth="1"/>
    <col min="1280" max="1281" width="13.86328125" style="4" bestFit="1" customWidth="1"/>
    <col min="1282" max="1282" width="14.86328125" style="4" bestFit="1" customWidth="1"/>
    <col min="1283" max="1283" width="12.1328125" style="4" bestFit="1" customWidth="1"/>
    <col min="1284" max="1284" width="12.3984375" style="4" bestFit="1" customWidth="1"/>
    <col min="1285" max="1286" width="13.86328125" style="4" bestFit="1" customWidth="1"/>
    <col min="1287" max="1287" width="14.86328125" style="4" bestFit="1" customWidth="1"/>
    <col min="1288" max="1526" width="9.1328125" style="4"/>
    <col min="1527" max="1527" width="15.3984375" style="4" bestFit="1" customWidth="1"/>
    <col min="1528" max="1528" width="11.1328125" style="4" bestFit="1" customWidth="1"/>
    <col min="1529" max="1529" width="14.59765625" style="4" bestFit="1" customWidth="1"/>
    <col min="1530" max="1530" width="17.3984375" style="4" bestFit="1" customWidth="1"/>
    <col min="1531" max="1531" width="17.59765625" style="4" bestFit="1" customWidth="1"/>
    <col min="1532" max="1532" width="14.73046875" style="4" bestFit="1" customWidth="1"/>
    <col min="1533" max="1533" width="14.3984375" style="4" bestFit="1" customWidth="1"/>
    <col min="1534" max="1534" width="12.1328125" style="4" bestFit="1" customWidth="1"/>
    <col min="1535" max="1535" width="12.3984375" style="4" bestFit="1" customWidth="1"/>
    <col min="1536" max="1537" width="13.86328125" style="4" bestFit="1" customWidth="1"/>
    <col min="1538" max="1538" width="14.86328125" style="4" bestFit="1" customWidth="1"/>
    <col min="1539" max="1539" width="12.1328125" style="4" bestFit="1" customWidth="1"/>
    <col min="1540" max="1540" width="12.3984375" style="4" bestFit="1" customWidth="1"/>
    <col min="1541" max="1542" width="13.86328125" style="4" bestFit="1" customWidth="1"/>
    <col min="1543" max="1543" width="14.86328125" style="4" bestFit="1" customWidth="1"/>
    <col min="1544" max="1782" width="9.1328125" style="4"/>
    <col min="1783" max="1783" width="15.3984375" style="4" bestFit="1" customWidth="1"/>
    <col min="1784" max="1784" width="11.1328125" style="4" bestFit="1" customWidth="1"/>
    <col min="1785" max="1785" width="14.59765625" style="4" bestFit="1" customWidth="1"/>
    <col min="1786" max="1786" width="17.3984375" style="4" bestFit="1" customWidth="1"/>
    <col min="1787" max="1787" width="17.59765625" style="4" bestFit="1" customWidth="1"/>
    <col min="1788" max="1788" width="14.73046875" style="4" bestFit="1" customWidth="1"/>
    <col min="1789" max="1789" width="14.3984375" style="4" bestFit="1" customWidth="1"/>
    <col min="1790" max="1790" width="12.1328125" style="4" bestFit="1" customWidth="1"/>
    <col min="1791" max="1791" width="12.3984375" style="4" bestFit="1" customWidth="1"/>
    <col min="1792" max="1793" width="13.86328125" style="4" bestFit="1" customWidth="1"/>
    <col min="1794" max="1794" width="14.86328125" style="4" bestFit="1" customWidth="1"/>
    <col min="1795" max="1795" width="12.1328125" style="4" bestFit="1" customWidth="1"/>
    <col min="1796" max="1796" width="12.3984375" style="4" bestFit="1" customWidth="1"/>
    <col min="1797" max="1798" width="13.86328125" style="4" bestFit="1" customWidth="1"/>
    <col min="1799" max="1799" width="14.86328125" style="4" bestFit="1" customWidth="1"/>
    <col min="1800" max="2038" width="9.1328125" style="4"/>
    <col min="2039" max="2039" width="15.3984375" style="4" bestFit="1" customWidth="1"/>
    <col min="2040" max="2040" width="11.1328125" style="4" bestFit="1" customWidth="1"/>
    <col min="2041" max="2041" width="14.59765625" style="4" bestFit="1" customWidth="1"/>
    <col min="2042" max="2042" width="17.3984375" style="4" bestFit="1" customWidth="1"/>
    <col min="2043" max="2043" width="17.59765625" style="4" bestFit="1" customWidth="1"/>
    <col min="2044" max="2044" width="14.73046875" style="4" bestFit="1" customWidth="1"/>
    <col min="2045" max="2045" width="14.3984375" style="4" bestFit="1" customWidth="1"/>
    <col min="2046" max="2046" width="12.1328125" style="4" bestFit="1" customWidth="1"/>
    <col min="2047" max="2047" width="12.3984375" style="4" bestFit="1" customWidth="1"/>
    <col min="2048" max="2049" width="13.86328125" style="4" bestFit="1" customWidth="1"/>
    <col min="2050" max="2050" width="14.86328125" style="4" bestFit="1" customWidth="1"/>
    <col min="2051" max="2051" width="12.1328125" style="4" bestFit="1" customWidth="1"/>
    <col min="2052" max="2052" width="12.3984375" style="4" bestFit="1" customWidth="1"/>
    <col min="2053" max="2054" width="13.86328125" style="4" bestFit="1" customWidth="1"/>
    <col min="2055" max="2055" width="14.86328125" style="4" bestFit="1" customWidth="1"/>
    <col min="2056" max="2294" width="9.1328125" style="4"/>
    <col min="2295" max="2295" width="15.3984375" style="4" bestFit="1" customWidth="1"/>
    <col min="2296" max="2296" width="11.1328125" style="4" bestFit="1" customWidth="1"/>
    <col min="2297" max="2297" width="14.59765625" style="4" bestFit="1" customWidth="1"/>
    <col min="2298" max="2298" width="17.3984375" style="4" bestFit="1" customWidth="1"/>
    <col min="2299" max="2299" width="17.59765625" style="4" bestFit="1" customWidth="1"/>
    <col min="2300" max="2300" width="14.73046875" style="4" bestFit="1" customWidth="1"/>
    <col min="2301" max="2301" width="14.3984375" style="4" bestFit="1" customWidth="1"/>
    <col min="2302" max="2302" width="12.1328125" style="4" bestFit="1" customWidth="1"/>
    <col min="2303" max="2303" width="12.3984375" style="4" bestFit="1" customWidth="1"/>
    <col min="2304" max="2305" width="13.86328125" style="4" bestFit="1" customWidth="1"/>
    <col min="2306" max="2306" width="14.86328125" style="4" bestFit="1" customWidth="1"/>
    <col min="2307" max="2307" width="12.1328125" style="4" bestFit="1" customWidth="1"/>
    <col min="2308" max="2308" width="12.3984375" style="4" bestFit="1" customWidth="1"/>
    <col min="2309" max="2310" width="13.86328125" style="4" bestFit="1" customWidth="1"/>
    <col min="2311" max="2311" width="14.86328125" style="4" bestFit="1" customWidth="1"/>
    <col min="2312" max="2550" width="9.1328125" style="4"/>
    <col min="2551" max="2551" width="15.3984375" style="4" bestFit="1" customWidth="1"/>
    <col min="2552" max="2552" width="11.1328125" style="4" bestFit="1" customWidth="1"/>
    <col min="2553" max="2553" width="14.59765625" style="4" bestFit="1" customWidth="1"/>
    <col min="2554" max="2554" width="17.3984375" style="4" bestFit="1" customWidth="1"/>
    <col min="2555" max="2555" width="17.59765625" style="4" bestFit="1" customWidth="1"/>
    <col min="2556" max="2556" width="14.73046875" style="4" bestFit="1" customWidth="1"/>
    <col min="2557" max="2557" width="14.3984375" style="4" bestFit="1" customWidth="1"/>
    <col min="2558" max="2558" width="12.1328125" style="4" bestFit="1" customWidth="1"/>
    <col min="2559" max="2559" width="12.3984375" style="4" bestFit="1" customWidth="1"/>
    <col min="2560" max="2561" width="13.86328125" style="4" bestFit="1" customWidth="1"/>
    <col min="2562" max="2562" width="14.86328125" style="4" bestFit="1" customWidth="1"/>
    <col min="2563" max="2563" width="12.1328125" style="4" bestFit="1" customWidth="1"/>
    <col min="2564" max="2564" width="12.3984375" style="4" bestFit="1" customWidth="1"/>
    <col min="2565" max="2566" width="13.86328125" style="4" bestFit="1" customWidth="1"/>
    <col min="2567" max="2567" width="14.86328125" style="4" bestFit="1" customWidth="1"/>
    <col min="2568" max="2806" width="9.1328125" style="4"/>
    <col min="2807" max="2807" width="15.3984375" style="4" bestFit="1" customWidth="1"/>
    <col min="2808" max="2808" width="11.1328125" style="4" bestFit="1" customWidth="1"/>
    <col min="2809" max="2809" width="14.59765625" style="4" bestFit="1" customWidth="1"/>
    <col min="2810" max="2810" width="17.3984375" style="4" bestFit="1" customWidth="1"/>
    <col min="2811" max="2811" width="17.59765625" style="4" bestFit="1" customWidth="1"/>
    <col min="2812" max="2812" width="14.73046875" style="4" bestFit="1" customWidth="1"/>
    <col min="2813" max="2813" width="14.3984375" style="4" bestFit="1" customWidth="1"/>
    <col min="2814" max="2814" width="12.1328125" style="4" bestFit="1" customWidth="1"/>
    <col min="2815" max="2815" width="12.3984375" style="4" bestFit="1" customWidth="1"/>
    <col min="2816" max="2817" width="13.86328125" style="4" bestFit="1" customWidth="1"/>
    <col min="2818" max="2818" width="14.86328125" style="4" bestFit="1" customWidth="1"/>
    <col min="2819" max="2819" width="12.1328125" style="4" bestFit="1" customWidth="1"/>
    <col min="2820" max="2820" width="12.3984375" style="4" bestFit="1" customWidth="1"/>
    <col min="2821" max="2822" width="13.86328125" style="4" bestFit="1" customWidth="1"/>
    <col min="2823" max="2823" width="14.86328125" style="4" bestFit="1" customWidth="1"/>
    <col min="2824" max="3062" width="9.1328125" style="4"/>
    <col min="3063" max="3063" width="15.3984375" style="4" bestFit="1" customWidth="1"/>
    <col min="3064" max="3064" width="11.1328125" style="4" bestFit="1" customWidth="1"/>
    <col min="3065" max="3065" width="14.59765625" style="4" bestFit="1" customWidth="1"/>
    <col min="3066" max="3066" width="17.3984375" style="4" bestFit="1" customWidth="1"/>
    <col min="3067" max="3067" width="17.59765625" style="4" bestFit="1" customWidth="1"/>
    <col min="3068" max="3068" width="14.73046875" style="4" bestFit="1" customWidth="1"/>
    <col min="3069" max="3069" width="14.3984375" style="4" bestFit="1" customWidth="1"/>
    <col min="3070" max="3070" width="12.1328125" style="4" bestFit="1" customWidth="1"/>
    <col min="3071" max="3071" width="12.3984375" style="4" bestFit="1" customWidth="1"/>
    <col min="3072" max="3073" width="13.86328125" style="4" bestFit="1" customWidth="1"/>
    <col min="3074" max="3074" width="14.86328125" style="4" bestFit="1" customWidth="1"/>
    <col min="3075" max="3075" width="12.1328125" style="4" bestFit="1" customWidth="1"/>
    <col min="3076" max="3076" width="12.3984375" style="4" bestFit="1" customWidth="1"/>
    <col min="3077" max="3078" width="13.86328125" style="4" bestFit="1" customWidth="1"/>
    <col min="3079" max="3079" width="14.86328125" style="4" bestFit="1" customWidth="1"/>
    <col min="3080" max="3318" width="9.1328125" style="4"/>
    <col min="3319" max="3319" width="15.3984375" style="4" bestFit="1" customWidth="1"/>
    <col min="3320" max="3320" width="11.1328125" style="4" bestFit="1" customWidth="1"/>
    <col min="3321" max="3321" width="14.59765625" style="4" bestFit="1" customWidth="1"/>
    <col min="3322" max="3322" width="17.3984375" style="4" bestFit="1" customWidth="1"/>
    <col min="3323" max="3323" width="17.59765625" style="4" bestFit="1" customWidth="1"/>
    <col min="3324" max="3324" width="14.73046875" style="4" bestFit="1" customWidth="1"/>
    <col min="3325" max="3325" width="14.3984375" style="4" bestFit="1" customWidth="1"/>
    <col min="3326" max="3326" width="12.1328125" style="4" bestFit="1" customWidth="1"/>
    <col min="3327" max="3327" width="12.3984375" style="4" bestFit="1" customWidth="1"/>
    <col min="3328" max="3329" width="13.86328125" style="4" bestFit="1" customWidth="1"/>
    <col min="3330" max="3330" width="14.86328125" style="4" bestFit="1" customWidth="1"/>
    <col min="3331" max="3331" width="12.1328125" style="4" bestFit="1" customWidth="1"/>
    <col min="3332" max="3332" width="12.3984375" style="4" bestFit="1" customWidth="1"/>
    <col min="3333" max="3334" width="13.86328125" style="4" bestFit="1" customWidth="1"/>
    <col min="3335" max="3335" width="14.86328125" style="4" bestFit="1" customWidth="1"/>
    <col min="3336" max="3574" width="9.1328125" style="4"/>
    <col min="3575" max="3575" width="15.3984375" style="4" bestFit="1" customWidth="1"/>
    <col min="3576" max="3576" width="11.1328125" style="4" bestFit="1" customWidth="1"/>
    <col min="3577" max="3577" width="14.59765625" style="4" bestFit="1" customWidth="1"/>
    <col min="3578" max="3578" width="17.3984375" style="4" bestFit="1" customWidth="1"/>
    <col min="3579" max="3579" width="17.59765625" style="4" bestFit="1" customWidth="1"/>
    <col min="3580" max="3580" width="14.73046875" style="4" bestFit="1" customWidth="1"/>
    <col min="3581" max="3581" width="14.3984375" style="4" bestFit="1" customWidth="1"/>
    <col min="3582" max="3582" width="12.1328125" style="4" bestFit="1" customWidth="1"/>
    <col min="3583" max="3583" width="12.3984375" style="4" bestFit="1" customWidth="1"/>
    <col min="3584" max="3585" width="13.86328125" style="4" bestFit="1" customWidth="1"/>
    <col min="3586" max="3586" width="14.86328125" style="4" bestFit="1" customWidth="1"/>
    <col min="3587" max="3587" width="12.1328125" style="4" bestFit="1" customWidth="1"/>
    <col min="3588" max="3588" width="12.3984375" style="4" bestFit="1" customWidth="1"/>
    <col min="3589" max="3590" width="13.86328125" style="4" bestFit="1" customWidth="1"/>
    <col min="3591" max="3591" width="14.86328125" style="4" bestFit="1" customWidth="1"/>
    <col min="3592" max="3830" width="9.1328125" style="4"/>
    <col min="3831" max="3831" width="15.3984375" style="4" bestFit="1" customWidth="1"/>
    <col min="3832" max="3832" width="11.1328125" style="4" bestFit="1" customWidth="1"/>
    <col min="3833" max="3833" width="14.59765625" style="4" bestFit="1" customWidth="1"/>
    <col min="3834" max="3834" width="17.3984375" style="4" bestFit="1" customWidth="1"/>
    <col min="3835" max="3835" width="17.59765625" style="4" bestFit="1" customWidth="1"/>
    <col min="3836" max="3836" width="14.73046875" style="4" bestFit="1" customWidth="1"/>
    <col min="3837" max="3837" width="14.3984375" style="4" bestFit="1" customWidth="1"/>
    <col min="3838" max="3838" width="12.1328125" style="4" bestFit="1" customWidth="1"/>
    <col min="3839" max="3839" width="12.3984375" style="4" bestFit="1" customWidth="1"/>
    <col min="3840" max="3841" width="13.86328125" style="4" bestFit="1" customWidth="1"/>
    <col min="3842" max="3842" width="14.86328125" style="4" bestFit="1" customWidth="1"/>
    <col min="3843" max="3843" width="12.1328125" style="4" bestFit="1" customWidth="1"/>
    <col min="3844" max="3844" width="12.3984375" style="4" bestFit="1" customWidth="1"/>
    <col min="3845" max="3846" width="13.86328125" style="4" bestFit="1" customWidth="1"/>
    <col min="3847" max="3847" width="14.86328125" style="4" bestFit="1" customWidth="1"/>
    <col min="3848" max="4086" width="9.1328125" style="4"/>
    <col min="4087" max="4087" width="15.3984375" style="4" bestFit="1" customWidth="1"/>
    <col min="4088" max="4088" width="11.1328125" style="4" bestFit="1" customWidth="1"/>
    <col min="4089" max="4089" width="14.59765625" style="4" bestFit="1" customWidth="1"/>
    <col min="4090" max="4090" width="17.3984375" style="4" bestFit="1" customWidth="1"/>
    <col min="4091" max="4091" width="17.59765625" style="4" bestFit="1" customWidth="1"/>
    <col min="4092" max="4092" width="14.73046875" style="4" bestFit="1" customWidth="1"/>
    <col min="4093" max="4093" width="14.3984375" style="4" bestFit="1" customWidth="1"/>
    <col min="4094" max="4094" width="12.1328125" style="4" bestFit="1" customWidth="1"/>
    <col min="4095" max="4095" width="12.3984375" style="4" bestFit="1" customWidth="1"/>
    <col min="4096" max="4097" width="13.86328125" style="4" bestFit="1" customWidth="1"/>
    <col min="4098" max="4098" width="14.86328125" style="4" bestFit="1" customWidth="1"/>
    <col min="4099" max="4099" width="12.1328125" style="4" bestFit="1" customWidth="1"/>
    <col min="4100" max="4100" width="12.3984375" style="4" bestFit="1" customWidth="1"/>
    <col min="4101" max="4102" width="13.86328125" style="4" bestFit="1" customWidth="1"/>
    <col min="4103" max="4103" width="14.86328125" style="4" bestFit="1" customWidth="1"/>
    <col min="4104" max="4342" width="9.1328125" style="4"/>
    <col min="4343" max="4343" width="15.3984375" style="4" bestFit="1" customWidth="1"/>
    <col min="4344" max="4344" width="11.1328125" style="4" bestFit="1" customWidth="1"/>
    <col min="4345" max="4345" width="14.59765625" style="4" bestFit="1" customWidth="1"/>
    <col min="4346" max="4346" width="17.3984375" style="4" bestFit="1" customWidth="1"/>
    <col min="4347" max="4347" width="17.59765625" style="4" bestFit="1" customWidth="1"/>
    <col min="4348" max="4348" width="14.73046875" style="4" bestFit="1" customWidth="1"/>
    <col min="4349" max="4349" width="14.3984375" style="4" bestFit="1" customWidth="1"/>
    <col min="4350" max="4350" width="12.1328125" style="4" bestFit="1" customWidth="1"/>
    <col min="4351" max="4351" width="12.3984375" style="4" bestFit="1" customWidth="1"/>
    <col min="4352" max="4353" width="13.86328125" style="4" bestFit="1" customWidth="1"/>
    <col min="4354" max="4354" width="14.86328125" style="4" bestFit="1" customWidth="1"/>
    <col min="4355" max="4355" width="12.1328125" style="4" bestFit="1" customWidth="1"/>
    <col min="4356" max="4356" width="12.3984375" style="4" bestFit="1" customWidth="1"/>
    <col min="4357" max="4358" width="13.86328125" style="4" bestFit="1" customWidth="1"/>
    <col min="4359" max="4359" width="14.86328125" style="4" bestFit="1" customWidth="1"/>
    <col min="4360" max="4598" width="9.1328125" style="4"/>
    <col min="4599" max="4599" width="15.3984375" style="4" bestFit="1" customWidth="1"/>
    <col min="4600" max="4600" width="11.1328125" style="4" bestFit="1" customWidth="1"/>
    <col min="4601" max="4601" width="14.59765625" style="4" bestFit="1" customWidth="1"/>
    <col min="4602" max="4602" width="17.3984375" style="4" bestFit="1" customWidth="1"/>
    <col min="4603" max="4603" width="17.59765625" style="4" bestFit="1" customWidth="1"/>
    <col min="4604" max="4604" width="14.73046875" style="4" bestFit="1" customWidth="1"/>
    <col min="4605" max="4605" width="14.3984375" style="4" bestFit="1" customWidth="1"/>
    <col min="4606" max="4606" width="12.1328125" style="4" bestFit="1" customWidth="1"/>
    <col min="4607" max="4607" width="12.3984375" style="4" bestFit="1" customWidth="1"/>
    <col min="4608" max="4609" width="13.86328125" style="4" bestFit="1" customWidth="1"/>
    <col min="4610" max="4610" width="14.86328125" style="4" bestFit="1" customWidth="1"/>
    <col min="4611" max="4611" width="12.1328125" style="4" bestFit="1" customWidth="1"/>
    <col min="4612" max="4612" width="12.3984375" style="4" bestFit="1" customWidth="1"/>
    <col min="4613" max="4614" width="13.86328125" style="4" bestFit="1" customWidth="1"/>
    <col min="4615" max="4615" width="14.86328125" style="4" bestFit="1" customWidth="1"/>
    <col min="4616" max="4854" width="9.1328125" style="4"/>
    <col min="4855" max="4855" width="15.3984375" style="4" bestFit="1" customWidth="1"/>
    <col min="4856" max="4856" width="11.1328125" style="4" bestFit="1" customWidth="1"/>
    <col min="4857" max="4857" width="14.59765625" style="4" bestFit="1" customWidth="1"/>
    <col min="4858" max="4858" width="17.3984375" style="4" bestFit="1" customWidth="1"/>
    <col min="4859" max="4859" width="17.59765625" style="4" bestFit="1" customWidth="1"/>
    <col min="4860" max="4860" width="14.73046875" style="4" bestFit="1" customWidth="1"/>
    <col min="4861" max="4861" width="14.3984375" style="4" bestFit="1" customWidth="1"/>
    <col min="4862" max="4862" width="12.1328125" style="4" bestFit="1" customWidth="1"/>
    <col min="4863" max="4863" width="12.3984375" style="4" bestFit="1" customWidth="1"/>
    <col min="4864" max="4865" width="13.86328125" style="4" bestFit="1" customWidth="1"/>
    <col min="4866" max="4866" width="14.86328125" style="4" bestFit="1" customWidth="1"/>
    <col min="4867" max="4867" width="12.1328125" style="4" bestFit="1" customWidth="1"/>
    <col min="4868" max="4868" width="12.3984375" style="4" bestFit="1" customWidth="1"/>
    <col min="4869" max="4870" width="13.86328125" style="4" bestFit="1" customWidth="1"/>
    <col min="4871" max="4871" width="14.86328125" style="4" bestFit="1" customWidth="1"/>
    <col min="4872" max="5110" width="9.1328125" style="4"/>
    <col min="5111" max="5111" width="15.3984375" style="4" bestFit="1" customWidth="1"/>
    <col min="5112" max="5112" width="11.1328125" style="4" bestFit="1" customWidth="1"/>
    <col min="5113" max="5113" width="14.59765625" style="4" bestFit="1" customWidth="1"/>
    <col min="5114" max="5114" width="17.3984375" style="4" bestFit="1" customWidth="1"/>
    <col min="5115" max="5115" width="17.59765625" style="4" bestFit="1" customWidth="1"/>
    <col min="5116" max="5116" width="14.73046875" style="4" bestFit="1" customWidth="1"/>
    <col min="5117" max="5117" width="14.3984375" style="4" bestFit="1" customWidth="1"/>
    <col min="5118" max="5118" width="12.1328125" style="4" bestFit="1" customWidth="1"/>
    <col min="5119" max="5119" width="12.3984375" style="4" bestFit="1" customWidth="1"/>
    <col min="5120" max="5121" width="13.86328125" style="4" bestFit="1" customWidth="1"/>
    <col min="5122" max="5122" width="14.86328125" style="4" bestFit="1" customWidth="1"/>
    <col min="5123" max="5123" width="12.1328125" style="4" bestFit="1" customWidth="1"/>
    <col min="5124" max="5124" width="12.3984375" style="4" bestFit="1" customWidth="1"/>
    <col min="5125" max="5126" width="13.86328125" style="4" bestFit="1" customWidth="1"/>
    <col min="5127" max="5127" width="14.86328125" style="4" bestFit="1" customWidth="1"/>
    <col min="5128" max="5366" width="9.1328125" style="4"/>
    <col min="5367" max="5367" width="15.3984375" style="4" bestFit="1" customWidth="1"/>
    <col min="5368" max="5368" width="11.1328125" style="4" bestFit="1" customWidth="1"/>
    <col min="5369" max="5369" width="14.59765625" style="4" bestFit="1" customWidth="1"/>
    <col min="5370" max="5370" width="17.3984375" style="4" bestFit="1" customWidth="1"/>
    <col min="5371" max="5371" width="17.59765625" style="4" bestFit="1" customWidth="1"/>
    <col min="5372" max="5372" width="14.73046875" style="4" bestFit="1" customWidth="1"/>
    <col min="5373" max="5373" width="14.3984375" style="4" bestFit="1" customWidth="1"/>
    <col min="5374" max="5374" width="12.1328125" style="4" bestFit="1" customWidth="1"/>
    <col min="5375" max="5375" width="12.3984375" style="4" bestFit="1" customWidth="1"/>
    <col min="5376" max="5377" width="13.86328125" style="4" bestFit="1" customWidth="1"/>
    <col min="5378" max="5378" width="14.86328125" style="4" bestFit="1" customWidth="1"/>
    <col min="5379" max="5379" width="12.1328125" style="4" bestFit="1" customWidth="1"/>
    <col min="5380" max="5380" width="12.3984375" style="4" bestFit="1" customWidth="1"/>
    <col min="5381" max="5382" width="13.86328125" style="4" bestFit="1" customWidth="1"/>
    <col min="5383" max="5383" width="14.86328125" style="4" bestFit="1" customWidth="1"/>
    <col min="5384" max="5622" width="9.1328125" style="4"/>
    <col min="5623" max="5623" width="15.3984375" style="4" bestFit="1" customWidth="1"/>
    <col min="5624" max="5624" width="11.1328125" style="4" bestFit="1" customWidth="1"/>
    <col min="5625" max="5625" width="14.59765625" style="4" bestFit="1" customWidth="1"/>
    <col min="5626" max="5626" width="17.3984375" style="4" bestFit="1" customWidth="1"/>
    <col min="5627" max="5627" width="17.59765625" style="4" bestFit="1" customWidth="1"/>
    <col min="5628" max="5628" width="14.73046875" style="4" bestFit="1" customWidth="1"/>
    <col min="5629" max="5629" width="14.3984375" style="4" bestFit="1" customWidth="1"/>
    <col min="5630" max="5630" width="12.1328125" style="4" bestFit="1" customWidth="1"/>
    <col min="5631" max="5631" width="12.3984375" style="4" bestFit="1" customWidth="1"/>
    <col min="5632" max="5633" width="13.86328125" style="4" bestFit="1" customWidth="1"/>
    <col min="5634" max="5634" width="14.86328125" style="4" bestFit="1" customWidth="1"/>
    <col min="5635" max="5635" width="12.1328125" style="4" bestFit="1" customWidth="1"/>
    <col min="5636" max="5636" width="12.3984375" style="4" bestFit="1" customWidth="1"/>
    <col min="5637" max="5638" width="13.86328125" style="4" bestFit="1" customWidth="1"/>
    <col min="5639" max="5639" width="14.86328125" style="4" bestFit="1" customWidth="1"/>
    <col min="5640" max="5878" width="9.1328125" style="4"/>
    <col min="5879" max="5879" width="15.3984375" style="4" bestFit="1" customWidth="1"/>
    <col min="5880" max="5880" width="11.1328125" style="4" bestFit="1" customWidth="1"/>
    <col min="5881" max="5881" width="14.59765625" style="4" bestFit="1" customWidth="1"/>
    <col min="5882" max="5882" width="17.3984375" style="4" bestFit="1" customWidth="1"/>
    <col min="5883" max="5883" width="17.59765625" style="4" bestFit="1" customWidth="1"/>
    <col min="5884" max="5884" width="14.73046875" style="4" bestFit="1" customWidth="1"/>
    <col min="5885" max="5885" width="14.3984375" style="4" bestFit="1" customWidth="1"/>
    <col min="5886" max="5886" width="12.1328125" style="4" bestFit="1" customWidth="1"/>
    <col min="5887" max="5887" width="12.3984375" style="4" bestFit="1" customWidth="1"/>
    <col min="5888" max="5889" width="13.86328125" style="4" bestFit="1" customWidth="1"/>
    <col min="5890" max="5890" width="14.86328125" style="4" bestFit="1" customWidth="1"/>
    <col min="5891" max="5891" width="12.1328125" style="4" bestFit="1" customWidth="1"/>
    <col min="5892" max="5892" width="12.3984375" style="4" bestFit="1" customWidth="1"/>
    <col min="5893" max="5894" width="13.86328125" style="4" bestFit="1" customWidth="1"/>
    <col min="5895" max="5895" width="14.86328125" style="4" bestFit="1" customWidth="1"/>
    <col min="5896" max="6134" width="9.1328125" style="4"/>
    <col min="6135" max="6135" width="15.3984375" style="4" bestFit="1" customWidth="1"/>
    <col min="6136" max="6136" width="11.1328125" style="4" bestFit="1" customWidth="1"/>
    <col min="6137" max="6137" width="14.59765625" style="4" bestFit="1" customWidth="1"/>
    <col min="6138" max="6138" width="17.3984375" style="4" bestFit="1" customWidth="1"/>
    <col min="6139" max="6139" width="17.59765625" style="4" bestFit="1" customWidth="1"/>
    <col min="6140" max="6140" width="14.73046875" style="4" bestFit="1" customWidth="1"/>
    <col min="6141" max="6141" width="14.3984375" style="4" bestFit="1" customWidth="1"/>
    <col min="6142" max="6142" width="12.1328125" style="4" bestFit="1" customWidth="1"/>
    <col min="6143" max="6143" width="12.3984375" style="4" bestFit="1" customWidth="1"/>
    <col min="6144" max="6145" width="13.86328125" style="4" bestFit="1" customWidth="1"/>
    <col min="6146" max="6146" width="14.86328125" style="4" bestFit="1" customWidth="1"/>
    <col min="6147" max="6147" width="12.1328125" style="4" bestFit="1" customWidth="1"/>
    <col min="6148" max="6148" width="12.3984375" style="4" bestFit="1" customWidth="1"/>
    <col min="6149" max="6150" width="13.86328125" style="4" bestFit="1" customWidth="1"/>
    <col min="6151" max="6151" width="14.86328125" style="4" bestFit="1" customWidth="1"/>
    <col min="6152" max="6390" width="9.1328125" style="4"/>
    <col min="6391" max="6391" width="15.3984375" style="4" bestFit="1" customWidth="1"/>
    <col min="6392" max="6392" width="11.1328125" style="4" bestFit="1" customWidth="1"/>
    <col min="6393" max="6393" width="14.59765625" style="4" bestFit="1" customWidth="1"/>
    <col min="6394" max="6394" width="17.3984375" style="4" bestFit="1" customWidth="1"/>
    <col min="6395" max="6395" width="17.59765625" style="4" bestFit="1" customWidth="1"/>
    <col min="6396" max="6396" width="14.73046875" style="4" bestFit="1" customWidth="1"/>
    <col min="6397" max="6397" width="14.3984375" style="4" bestFit="1" customWidth="1"/>
    <col min="6398" max="6398" width="12.1328125" style="4" bestFit="1" customWidth="1"/>
    <col min="6399" max="6399" width="12.3984375" style="4" bestFit="1" customWidth="1"/>
    <col min="6400" max="6401" width="13.86328125" style="4" bestFit="1" customWidth="1"/>
    <col min="6402" max="6402" width="14.86328125" style="4" bestFit="1" customWidth="1"/>
    <col min="6403" max="6403" width="12.1328125" style="4" bestFit="1" customWidth="1"/>
    <col min="6404" max="6404" width="12.3984375" style="4" bestFit="1" customWidth="1"/>
    <col min="6405" max="6406" width="13.86328125" style="4" bestFit="1" customWidth="1"/>
    <col min="6407" max="6407" width="14.86328125" style="4" bestFit="1" customWidth="1"/>
    <col min="6408" max="6646" width="9.1328125" style="4"/>
    <col min="6647" max="6647" width="15.3984375" style="4" bestFit="1" customWidth="1"/>
    <col min="6648" max="6648" width="11.1328125" style="4" bestFit="1" customWidth="1"/>
    <col min="6649" max="6649" width="14.59765625" style="4" bestFit="1" customWidth="1"/>
    <col min="6650" max="6650" width="17.3984375" style="4" bestFit="1" customWidth="1"/>
    <col min="6651" max="6651" width="17.59765625" style="4" bestFit="1" customWidth="1"/>
    <col min="6652" max="6652" width="14.73046875" style="4" bestFit="1" customWidth="1"/>
    <col min="6653" max="6653" width="14.3984375" style="4" bestFit="1" customWidth="1"/>
    <col min="6654" max="6654" width="12.1328125" style="4" bestFit="1" customWidth="1"/>
    <col min="6655" max="6655" width="12.3984375" style="4" bestFit="1" customWidth="1"/>
    <col min="6656" max="6657" width="13.86328125" style="4" bestFit="1" customWidth="1"/>
    <col min="6658" max="6658" width="14.86328125" style="4" bestFit="1" customWidth="1"/>
    <col min="6659" max="6659" width="12.1328125" style="4" bestFit="1" customWidth="1"/>
    <col min="6660" max="6660" width="12.3984375" style="4" bestFit="1" customWidth="1"/>
    <col min="6661" max="6662" width="13.86328125" style="4" bestFit="1" customWidth="1"/>
    <col min="6663" max="6663" width="14.86328125" style="4" bestFit="1" customWidth="1"/>
    <col min="6664" max="6902" width="9.1328125" style="4"/>
    <col min="6903" max="6903" width="15.3984375" style="4" bestFit="1" customWidth="1"/>
    <col min="6904" max="6904" width="11.1328125" style="4" bestFit="1" customWidth="1"/>
    <col min="6905" max="6905" width="14.59765625" style="4" bestFit="1" customWidth="1"/>
    <col min="6906" max="6906" width="17.3984375" style="4" bestFit="1" customWidth="1"/>
    <col min="6907" max="6907" width="17.59765625" style="4" bestFit="1" customWidth="1"/>
    <col min="6908" max="6908" width="14.73046875" style="4" bestFit="1" customWidth="1"/>
    <col min="6909" max="6909" width="14.3984375" style="4" bestFit="1" customWidth="1"/>
    <col min="6910" max="6910" width="12.1328125" style="4" bestFit="1" customWidth="1"/>
    <col min="6911" max="6911" width="12.3984375" style="4" bestFit="1" customWidth="1"/>
    <col min="6912" max="6913" width="13.86328125" style="4" bestFit="1" customWidth="1"/>
    <col min="6914" max="6914" width="14.86328125" style="4" bestFit="1" customWidth="1"/>
    <col min="6915" max="6915" width="12.1328125" style="4" bestFit="1" customWidth="1"/>
    <col min="6916" max="6916" width="12.3984375" style="4" bestFit="1" customWidth="1"/>
    <col min="6917" max="6918" width="13.86328125" style="4" bestFit="1" customWidth="1"/>
    <col min="6919" max="6919" width="14.86328125" style="4" bestFit="1" customWidth="1"/>
    <col min="6920" max="7158" width="9.1328125" style="4"/>
    <col min="7159" max="7159" width="15.3984375" style="4" bestFit="1" customWidth="1"/>
    <col min="7160" max="7160" width="11.1328125" style="4" bestFit="1" customWidth="1"/>
    <col min="7161" max="7161" width="14.59765625" style="4" bestFit="1" customWidth="1"/>
    <col min="7162" max="7162" width="17.3984375" style="4" bestFit="1" customWidth="1"/>
    <col min="7163" max="7163" width="17.59765625" style="4" bestFit="1" customWidth="1"/>
    <col min="7164" max="7164" width="14.73046875" style="4" bestFit="1" customWidth="1"/>
    <col min="7165" max="7165" width="14.3984375" style="4" bestFit="1" customWidth="1"/>
    <col min="7166" max="7166" width="12.1328125" style="4" bestFit="1" customWidth="1"/>
    <col min="7167" max="7167" width="12.3984375" style="4" bestFit="1" customWidth="1"/>
    <col min="7168" max="7169" width="13.86328125" style="4" bestFit="1" customWidth="1"/>
    <col min="7170" max="7170" width="14.86328125" style="4" bestFit="1" customWidth="1"/>
    <col min="7171" max="7171" width="12.1328125" style="4" bestFit="1" customWidth="1"/>
    <col min="7172" max="7172" width="12.3984375" style="4" bestFit="1" customWidth="1"/>
    <col min="7173" max="7174" width="13.86328125" style="4" bestFit="1" customWidth="1"/>
    <col min="7175" max="7175" width="14.86328125" style="4" bestFit="1" customWidth="1"/>
    <col min="7176" max="7414" width="9.1328125" style="4"/>
    <col min="7415" max="7415" width="15.3984375" style="4" bestFit="1" customWidth="1"/>
    <col min="7416" max="7416" width="11.1328125" style="4" bestFit="1" customWidth="1"/>
    <col min="7417" max="7417" width="14.59765625" style="4" bestFit="1" customWidth="1"/>
    <col min="7418" max="7418" width="17.3984375" style="4" bestFit="1" customWidth="1"/>
    <col min="7419" max="7419" width="17.59765625" style="4" bestFit="1" customWidth="1"/>
    <col min="7420" max="7420" width="14.73046875" style="4" bestFit="1" customWidth="1"/>
    <col min="7421" max="7421" width="14.3984375" style="4" bestFit="1" customWidth="1"/>
    <col min="7422" max="7422" width="12.1328125" style="4" bestFit="1" customWidth="1"/>
    <col min="7423" max="7423" width="12.3984375" style="4" bestFit="1" customWidth="1"/>
    <col min="7424" max="7425" width="13.86328125" style="4" bestFit="1" customWidth="1"/>
    <col min="7426" max="7426" width="14.86328125" style="4" bestFit="1" customWidth="1"/>
    <col min="7427" max="7427" width="12.1328125" style="4" bestFit="1" customWidth="1"/>
    <col min="7428" max="7428" width="12.3984375" style="4" bestFit="1" customWidth="1"/>
    <col min="7429" max="7430" width="13.86328125" style="4" bestFit="1" customWidth="1"/>
    <col min="7431" max="7431" width="14.86328125" style="4" bestFit="1" customWidth="1"/>
    <col min="7432" max="7670" width="9.1328125" style="4"/>
    <col min="7671" max="7671" width="15.3984375" style="4" bestFit="1" customWidth="1"/>
    <col min="7672" max="7672" width="11.1328125" style="4" bestFit="1" customWidth="1"/>
    <col min="7673" max="7673" width="14.59765625" style="4" bestFit="1" customWidth="1"/>
    <col min="7674" max="7674" width="17.3984375" style="4" bestFit="1" customWidth="1"/>
    <col min="7675" max="7675" width="17.59765625" style="4" bestFit="1" customWidth="1"/>
    <col min="7676" max="7676" width="14.73046875" style="4" bestFit="1" customWidth="1"/>
    <col min="7677" max="7677" width="14.3984375" style="4" bestFit="1" customWidth="1"/>
    <col min="7678" max="7678" width="12.1328125" style="4" bestFit="1" customWidth="1"/>
    <col min="7679" max="7679" width="12.3984375" style="4" bestFit="1" customWidth="1"/>
    <col min="7680" max="7681" width="13.86328125" style="4" bestFit="1" customWidth="1"/>
    <col min="7682" max="7682" width="14.86328125" style="4" bestFit="1" customWidth="1"/>
    <col min="7683" max="7683" width="12.1328125" style="4" bestFit="1" customWidth="1"/>
    <col min="7684" max="7684" width="12.3984375" style="4" bestFit="1" customWidth="1"/>
    <col min="7685" max="7686" width="13.86328125" style="4" bestFit="1" customWidth="1"/>
    <col min="7687" max="7687" width="14.86328125" style="4" bestFit="1" customWidth="1"/>
    <col min="7688" max="7926" width="9.1328125" style="4"/>
    <col min="7927" max="7927" width="15.3984375" style="4" bestFit="1" customWidth="1"/>
    <col min="7928" max="7928" width="11.1328125" style="4" bestFit="1" customWidth="1"/>
    <col min="7929" max="7929" width="14.59765625" style="4" bestFit="1" customWidth="1"/>
    <col min="7930" max="7930" width="17.3984375" style="4" bestFit="1" customWidth="1"/>
    <col min="7931" max="7931" width="17.59765625" style="4" bestFit="1" customWidth="1"/>
    <col min="7932" max="7932" width="14.73046875" style="4" bestFit="1" customWidth="1"/>
    <col min="7933" max="7933" width="14.3984375" style="4" bestFit="1" customWidth="1"/>
    <col min="7934" max="7934" width="12.1328125" style="4" bestFit="1" customWidth="1"/>
    <col min="7935" max="7935" width="12.3984375" style="4" bestFit="1" customWidth="1"/>
    <col min="7936" max="7937" width="13.86328125" style="4" bestFit="1" customWidth="1"/>
    <col min="7938" max="7938" width="14.86328125" style="4" bestFit="1" customWidth="1"/>
    <col min="7939" max="7939" width="12.1328125" style="4" bestFit="1" customWidth="1"/>
    <col min="7940" max="7940" width="12.3984375" style="4" bestFit="1" customWidth="1"/>
    <col min="7941" max="7942" width="13.86328125" style="4" bestFit="1" customWidth="1"/>
    <col min="7943" max="7943" width="14.86328125" style="4" bestFit="1" customWidth="1"/>
    <col min="7944" max="8182" width="9.1328125" style="4"/>
    <col min="8183" max="8183" width="15.3984375" style="4" bestFit="1" customWidth="1"/>
    <col min="8184" max="8184" width="11.1328125" style="4" bestFit="1" customWidth="1"/>
    <col min="8185" max="8185" width="14.59765625" style="4" bestFit="1" customWidth="1"/>
    <col min="8186" max="8186" width="17.3984375" style="4" bestFit="1" customWidth="1"/>
    <col min="8187" max="8187" width="17.59765625" style="4" bestFit="1" customWidth="1"/>
    <col min="8188" max="8188" width="14.73046875" style="4" bestFit="1" customWidth="1"/>
    <col min="8189" max="8189" width="14.3984375" style="4" bestFit="1" customWidth="1"/>
    <col min="8190" max="8190" width="12.1328125" style="4" bestFit="1" customWidth="1"/>
    <col min="8191" max="8191" width="12.3984375" style="4" bestFit="1" customWidth="1"/>
    <col min="8192" max="8193" width="13.86328125" style="4" bestFit="1" customWidth="1"/>
    <col min="8194" max="8194" width="14.86328125" style="4" bestFit="1" customWidth="1"/>
    <col min="8195" max="8195" width="12.1328125" style="4" bestFit="1" customWidth="1"/>
    <col min="8196" max="8196" width="12.3984375" style="4" bestFit="1" customWidth="1"/>
    <col min="8197" max="8198" width="13.86328125" style="4" bestFit="1" customWidth="1"/>
    <col min="8199" max="8199" width="14.86328125" style="4" bestFit="1" customWidth="1"/>
    <col min="8200" max="8438" width="9.1328125" style="4"/>
    <col min="8439" max="8439" width="15.3984375" style="4" bestFit="1" customWidth="1"/>
    <col min="8440" max="8440" width="11.1328125" style="4" bestFit="1" customWidth="1"/>
    <col min="8441" max="8441" width="14.59765625" style="4" bestFit="1" customWidth="1"/>
    <col min="8442" max="8442" width="17.3984375" style="4" bestFit="1" customWidth="1"/>
    <col min="8443" max="8443" width="17.59765625" style="4" bestFit="1" customWidth="1"/>
    <col min="8444" max="8444" width="14.73046875" style="4" bestFit="1" customWidth="1"/>
    <col min="8445" max="8445" width="14.3984375" style="4" bestFit="1" customWidth="1"/>
    <col min="8446" max="8446" width="12.1328125" style="4" bestFit="1" customWidth="1"/>
    <col min="8447" max="8447" width="12.3984375" style="4" bestFit="1" customWidth="1"/>
    <col min="8448" max="8449" width="13.86328125" style="4" bestFit="1" customWidth="1"/>
    <col min="8450" max="8450" width="14.86328125" style="4" bestFit="1" customWidth="1"/>
    <col min="8451" max="8451" width="12.1328125" style="4" bestFit="1" customWidth="1"/>
    <col min="8452" max="8452" width="12.3984375" style="4" bestFit="1" customWidth="1"/>
    <col min="8453" max="8454" width="13.86328125" style="4" bestFit="1" customWidth="1"/>
    <col min="8455" max="8455" width="14.86328125" style="4" bestFit="1" customWidth="1"/>
    <col min="8456" max="8694" width="9.1328125" style="4"/>
    <col min="8695" max="8695" width="15.3984375" style="4" bestFit="1" customWidth="1"/>
    <col min="8696" max="8696" width="11.1328125" style="4" bestFit="1" customWidth="1"/>
    <col min="8697" max="8697" width="14.59765625" style="4" bestFit="1" customWidth="1"/>
    <col min="8698" max="8698" width="17.3984375" style="4" bestFit="1" customWidth="1"/>
    <col min="8699" max="8699" width="17.59765625" style="4" bestFit="1" customWidth="1"/>
    <col min="8700" max="8700" width="14.73046875" style="4" bestFit="1" customWidth="1"/>
    <col min="8701" max="8701" width="14.3984375" style="4" bestFit="1" customWidth="1"/>
    <col min="8702" max="8702" width="12.1328125" style="4" bestFit="1" customWidth="1"/>
    <col min="8703" max="8703" width="12.3984375" style="4" bestFit="1" customWidth="1"/>
    <col min="8704" max="8705" width="13.86328125" style="4" bestFit="1" customWidth="1"/>
    <col min="8706" max="8706" width="14.86328125" style="4" bestFit="1" customWidth="1"/>
    <col min="8707" max="8707" width="12.1328125" style="4" bestFit="1" customWidth="1"/>
    <col min="8708" max="8708" width="12.3984375" style="4" bestFit="1" customWidth="1"/>
    <col min="8709" max="8710" width="13.86328125" style="4" bestFit="1" customWidth="1"/>
    <col min="8711" max="8711" width="14.86328125" style="4" bestFit="1" customWidth="1"/>
    <col min="8712" max="8950" width="9.1328125" style="4"/>
    <col min="8951" max="8951" width="15.3984375" style="4" bestFit="1" customWidth="1"/>
    <col min="8952" max="8952" width="11.1328125" style="4" bestFit="1" customWidth="1"/>
    <col min="8953" max="8953" width="14.59765625" style="4" bestFit="1" customWidth="1"/>
    <col min="8954" max="8954" width="17.3984375" style="4" bestFit="1" customWidth="1"/>
    <col min="8955" max="8955" width="17.59765625" style="4" bestFit="1" customWidth="1"/>
    <col min="8956" max="8956" width="14.73046875" style="4" bestFit="1" customWidth="1"/>
    <col min="8957" max="8957" width="14.3984375" style="4" bestFit="1" customWidth="1"/>
    <col min="8958" max="8958" width="12.1328125" style="4" bestFit="1" customWidth="1"/>
    <col min="8959" max="8959" width="12.3984375" style="4" bestFit="1" customWidth="1"/>
    <col min="8960" max="8961" width="13.86328125" style="4" bestFit="1" customWidth="1"/>
    <col min="8962" max="8962" width="14.86328125" style="4" bestFit="1" customWidth="1"/>
    <col min="8963" max="8963" width="12.1328125" style="4" bestFit="1" customWidth="1"/>
    <col min="8964" max="8964" width="12.3984375" style="4" bestFit="1" customWidth="1"/>
    <col min="8965" max="8966" width="13.86328125" style="4" bestFit="1" customWidth="1"/>
    <col min="8967" max="8967" width="14.86328125" style="4" bestFit="1" customWidth="1"/>
    <col min="8968" max="9206" width="9.1328125" style="4"/>
    <col min="9207" max="9207" width="15.3984375" style="4" bestFit="1" customWidth="1"/>
    <col min="9208" max="9208" width="11.1328125" style="4" bestFit="1" customWidth="1"/>
    <col min="9209" max="9209" width="14.59765625" style="4" bestFit="1" customWidth="1"/>
    <col min="9210" max="9210" width="17.3984375" style="4" bestFit="1" customWidth="1"/>
    <col min="9211" max="9211" width="17.59765625" style="4" bestFit="1" customWidth="1"/>
    <col min="9212" max="9212" width="14.73046875" style="4" bestFit="1" customWidth="1"/>
    <col min="9213" max="9213" width="14.3984375" style="4" bestFit="1" customWidth="1"/>
    <col min="9214" max="9214" width="12.1328125" style="4" bestFit="1" customWidth="1"/>
    <col min="9215" max="9215" width="12.3984375" style="4" bestFit="1" customWidth="1"/>
    <col min="9216" max="9217" width="13.86328125" style="4" bestFit="1" customWidth="1"/>
    <col min="9218" max="9218" width="14.86328125" style="4" bestFit="1" customWidth="1"/>
    <col min="9219" max="9219" width="12.1328125" style="4" bestFit="1" customWidth="1"/>
    <col min="9220" max="9220" width="12.3984375" style="4" bestFit="1" customWidth="1"/>
    <col min="9221" max="9222" width="13.86328125" style="4" bestFit="1" customWidth="1"/>
    <col min="9223" max="9223" width="14.86328125" style="4" bestFit="1" customWidth="1"/>
    <col min="9224" max="9462" width="9.1328125" style="4"/>
    <col min="9463" max="9463" width="15.3984375" style="4" bestFit="1" customWidth="1"/>
    <col min="9464" max="9464" width="11.1328125" style="4" bestFit="1" customWidth="1"/>
    <col min="9465" max="9465" width="14.59765625" style="4" bestFit="1" customWidth="1"/>
    <col min="9466" max="9466" width="17.3984375" style="4" bestFit="1" customWidth="1"/>
    <col min="9467" max="9467" width="17.59765625" style="4" bestFit="1" customWidth="1"/>
    <col min="9468" max="9468" width="14.73046875" style="4" bestFit="1" customWidth="1"/>
    <col min="9469" max="9469" width="14.3984375" style="4" bestFit="1" customWidth="1"/>
    <col min="9470" max="9470" width="12.1328125" style="4" bestFit="1" customWidth="1"/>
    <col min="9471" max="9471" width="12.3984375" style="4" bestFit="1" customWidth="1"/>
    <col min="9472" max="9473" width="13.86328125" style="4" bestFit="1" customWidth="1"/>
    <col min="9474" max="9474" width="14.86328125" style="4" bestFit="1" customWidth="1"/>
    <col min="9475" max="9475" width="12.1328125" style="4" bestFit="1" customWidth="1"/>
    <col min="9476" max="9476" width="12.3984375" style="4" bestFit="1" customWidth="1"/>
    <col min="9477" max="9478" width="13.86328125" style="4" bestFit="1" customWidth="1"/>
    <col min="9479" max="9479" width="14.86328125" style="4" bestFit="1" customWidth="1"/>
    <col min="9480" max="9718" width="9.1328125" style="4"/>
    <col min="9719" max="9719" width="15.3984375" style="4" bestFit="1" customWidth="1"/>
    <col min="9720" max="9720" width="11.1328125" style="4" bestFit="1" customWidth="1"/>
    <col min="9721" max="9721" width="14.59765625" style="4" bestFit="1" customWidth="1"/>
    <col min="9722" max="9722" width="17.3984375" style="4" bestFit="1" customWidth="1"/>
    <col min="9723" max="9723" width="17.59765625" style="4" bestFit="1" customWidth="1"/>
    <col min="9724" max="9724" width="14.73046875" style="4" bestFit="1" customWidth="1"/>
    <col min="9725" max="9725" width="14.3984375" style="4" bestFit="1" customWidth="1"/>
    <col min="9726" max="9726" width="12.1328125" style="4" bestFit="1" customWidth="1"/>
    <col min="9727" max="9727" width="12.3984375" style="4" bestFit="1" customWidth="1"/>
    <col min="9728" max="9729" width="13.86328125" style="4" bestFit="1" customWidth="1"/>
    <col min="9730" max="9730" width="14.86328125" style="4" bestFit="1" customWidth="1"/>
    <col min="9731" max="9731" width="12.1328125" style="4" bestFit="1" customWidth="1"/>
    <col min="9732" max="9732" width="12.3984375" style="4" bestFit="1" customWidth="1"/>
    <col min="9733" max="9734" width="13.86328125" style="4" bestFit="1" customWidth="1"/>
    <col min="9735" max="9735" width="14.86328125" style="4" bestFit="1" customWidth="1"/>
    <col min="9736" max="9974" width="9.1328125" style="4"/>
    <col min="9975" max="9975" width="15.3984375" style="4" bestFit="1" customWidth="1"/>
    <col min="9976" max="9976" width="11.1328125" style="4" bestFit="1" customWidth="1"/>
    <col min="9977" max="9977" width="14.59765625" style="4" bestFit="1" customWidth="1"/>
    <col min="9978" max="9978" width="17.3984375" style="4" bestFit="1" customWidth="1"/>
    <col min="9979" max="9979" width="17.59765625" style="4" bestFit="1" customWidth="1"/>
    <col min="9980" max="9980" width="14.73046875" style="4" bestFit="1" customWidth="1"/>
    <col min="9981" max="9981" width="14.3984375" style="4" bestFit="1" customWidth="1"/>
    <col min="9982" max="9982" width="12.1328125" style="4" bestFit="1" customWidth="1"/>
    <col min="9983" max="9983" width="12.3984375" style="4" bestFit="1" customWidth="1"/>
    <col min="9984" max="9985" width="13.86328125" style="4" bestFit="1" customWidth="1"/>
    <col min="9986" max="9986" width="14.86328125" style="4" bestFit="1" customWidth="1"/>
    <col min="9987" max="9987" width="12.1328125" style="4" bestFit="1" customWidth="1"/>
    <col min="9988" max="9988" width="12.3984375" style="4" bestFit="1" customWidth="1"/>
    <col min="9989" max="9990" width="13.86328125" style="4" bestFit="1" customWidth="1"/>
    <col min="9991" max="9991" width="14.86328125" style="4" bestFit="1" customWidth="1"/>
    <col min="9992" max="10230" width="9.1328125" style="4"/>
    <col min="10231" max="10231" width="15.3984375" style="4" bestFit="1" customWidth="1"/>
    <col min="10232" max="10232" width="11.1328125" style="4" bestFit="1" customWidth="1"/>
    <col min="10233" max="10233" width="14.59765625" style="4" bestFit="1" customWidth="1"/>
    <col min="10234" max="10234" width="17.3984375" style="4" bestFit="1" customWidth="1"/>
    <col min="10235" max="10235" width="17.59765625" style="4" bestFit="1" customWidth="1"/>
    <col min="10236" max="10236" width="14.73046875" style="4" bestFit="1" customWidth="1"/>
    <col min="10237" max="10237" width="14.3984375" style="4" bestFit="1" customWidth="1"/>
    <col min="10238" max="10238" width="12.1328125" style="4" bestFit="1" customWidth="1"/>
    <col min="10239" max="10239" width="12.3984375" style="4" bestFit="1" customWidth="1"/>
    <col min="10240" max="10241" width="13.86328125" style="4" bestFit="1" customWidth="1"/>
    <col min="10242" max="10242" width="14.86328125" style="4" bestFit="1" customWidth="1"/>
    <col min="10243" max="10243" width="12.1328125" style="4" bestFit="1" customWidth="1"/>
    <col min="10244" max="10244" width="12.3984375" style="4" bestFit="1" customWidth="1"/>
    <col min="10245" max="10246" width="13.86328125" style="4" bestFit="1" customWidth="1"/>
    <col min="10247" max="10247" width="14.86328125" style="4" bestFit="1" customWidth="1"/>
    <col min="10248" max="10486" width="9.1328125" style="4"/>
    <col min="10487" max="10487" width="15.3984375" style="4" bestFit="1" customWidth="1"/>
    <col min="10488" max="10488" width="11.1328125" style="4" bestFit="1" customWidth="1"/>
    <col min="10489" max="10489" width="14.59765625" style="4" bestFit="1" customWidth="1"/>
    <col min="10490" max="10490" width="17.3984375" style="4" bestFit="1" customWidth="1"/>
    <col min="10491" max="10491" width="17.59765625" style="4" bestFit="1" customWidth="1"/>
    <col min="10492" max="10492" width="14.73046875" style="4" bestFit="1" customWidth="1"/>
    <col min="10493" max="10493" width="14.3984375" style="4" bestFit="1" customWidth="1"/>
    <col min="10494" max="10494" width="12.1328125" style="4" bestFit="1" customWidth="1"/>
    <col min="10495" max="10495" width="12.3984375" style="4" bestFit="1" customWidth="1"/>
    <col min="10496" max="10497" width="13.86328125" style="4" bestFit="1" customWidth="1"/>
    <col min="10498" max="10498" width="14.86328125" style="4" bestFit="1" customWidth="1"/>
    <col min="10499" max="10499" width="12.1328125" style="4" bestFit="1" customWidth="1"/>
    <col min="10500" max="10500" width="12.3984375" style="4" bestFit="1" customWidth="1"/>
    <col min="10501" max="10502" width="13.86328125" style="4" bestFit="1" customWidth="1"/>
    <col min="10503" max="10503" width="14.86328125" style="4" bestFit="1" customWidth="1"/>
    <col min="10504" max="10742" width="9.1328125" style="4"/>
    <col min="10743" max="10743" width="15.3984375" style="4" bestFit="1" customWidth="1"/>
    <col min="10744" max="10744" width="11.1328125" style="4" bestFit="1" customWidth="1"/>
    <col min="10745" max="10745" width="14.59765625" style="4" bestFit="1" customWidth="1"/>
    <col min="10746" max="10746" width="17.3984375" style="4" bestFit="1" customWidth="1"/>
    <col min="10747" max="10747" width="17.59765625" style="4" bestFit="1" customWidth="1"/>
    <col min="10748" max="10748" width="14.73046875" style="4" bestFit="1" customWidth="1"/>
    <col min="10749" max="10749" width="14.3984375" style="4" bestFit="1" customWidth="1"/>
    <col min="10750" max="10750" width="12.1328125" style="4" bestFit="1" customWidth="1"/>
    <col min="10751" max="10751" width="12.3984375" style="4" bestFit="1" customWidth="1"/>
    <col min="10752" max="10753" width="13.86328125" style="4" bestFit="1" customWidth="1"/>
    <col min="10754" max="10754" width="14.86328125" style="4" bestFit="1" customWidth="1"/>
    <col min="10755" max="10755" width="12.1328125" style="4" bestFit="1" customWidth="1"/>
    <col min="10756" max="10756" width="12.3984375" style="4" bestFit="1" customWidth="1"/>
    <col min="10757" max="10758" width="13.86328125" style="4" bestFit="1" customWidth="1"/>
    <col min="10759" max="10759" width="14.86328125" style="4" bestFit="1" customWidth="1"/>
    <col min="10760" max="10998" width="9.1328125" style="4"/>
    <col min="10999" max="10999" width="15.3984375" style="4" bestFit="1" customWidth="1"/>
    <col min="11000" max="11000" width="11.1328125" style="4" bestFit="1" customWidth="1"/>
    <col min="11001" max="11001" width="14.59765625" style="4" bestFit="1" customWidth="1"/>
    <col min="11002" max="11002" width="17.3984375" style="4" bestFit="1" customWidth="1"/>
    <col min="11003" max="11003" width="17.59765625" style="4" bestFit="1" customWidth="1"/>
    <col min="11004" max="11004" width="14.73046875" style="4" bestFit="1" customWidth="1"/>
    <col min="11005" max="11005" width="14.3984375" style="4" bestFit="1" customWidth="1"/>
    <col min="11006" max="11006" width="12.1328125" style="4" bestFit="1" customWidth="1"/>
    <col min="11007" max="11007" width="12.3984375" style="4" bestFit="1" customWidth="1"/>
    <col min="11008" max="11009" width="13.86328125" style="4" bestFit="1" customWidth="1"/>
    <col min="11010" max="11010" width="14.86328125" style="4" bestFit="1" customWidth="1"/>
    <col min="11011" max="11011" width="12.1328125" style="4" bestFit="1" customWidth="1"/>
    <col min="11012" max="11012" width="12.3984375" style="4" bestFit="1" customWidth="1"/>
    <col min="11013" max="11014" width="13.86328125" style="4" bestFit="1" customWidth="1"/>
    <col min="11015" max="11015" width="14.86328125" style="4" bestFit="1" customWidth="1"/>
    <col min="11016" max="11254" width="9.1328125" style="4"/>
    <col min="11255" max="11255" width="15.3984375" style="4" bestFit="1" customWidth="1"/>
    <col min="11256" max="11256" width="11.1328125" style="4" bestFit="1" customWidth="1"/>
    <col min="11257" max="11257" width="14.59765625" style="4" bestFit="1" customWidth="1"/>
    <col min="11258" max="11258" width="17.3984375" style="4" bestFit="1" customWidth="1"/>
    <col min="11259" max="11259" width="17.59765625" style="4" bestFit="1" customWidth="1"/>
    <col min="11260" max="11260" width="14.73046875" style="4" bestFit="1" customWidth="1"/>
    <col min="11261" max="11261" width="14.3984375" style="4" bestFit="1" customWidth="1"/>
    <col min="11262" max="11262" width="12.1328125" style="4" bestFit="1" customWidth="1"/>
    <col min="11263" max="11263" width="12.3984375" style="4" bestFit="1" customWidth="1"/>
    <col min="11264" max="11265" width="13.86328125" style="4" bestFit="1" customWidth="1"/>
    <col min="11266" max="11266" width="14.86328125" style="4" bestFit="1" customWidth="1"/>
    <col min="11267" max="11267" width="12.1328125" style="4" bestFit="1" customWidth="1"/>
    <col min="11268" max="11268" width="12.3984375" style="4" bestFit="1" customWidth="1"/>
    <col min="11269" max="11270" width="13.86328125" style="4" bestFit="1" customWidth="1"/>
    <col min="11271" max="11271" width="14.86328125" style="4" bestFit="1" customWidth="1"/>
    <col min="11272" max="11510" width="9.1328125" style="4"/>
    <col min="11511" max="11511" width="15.3984375" style="4" bestFit="1" customWidth="1"/>
    <col min="11512" max="11512" width="11.1328125" style="4" bestFit="1" customWidth="1"/>
    <col min="11513" max="11513" width="14.59765625" style="4" bestFit="1" customWidth="1"/>
    <col min="11514" max="11514" width="17.3984375" style="4" bestFit="1" customWidth="1"/>
    <col min="11515" max="11515" width="17.59765625" style="4" bestFit="1" customWidth="1"/>
    <col min="11516" max="11516" width="14.73046875" style="4" bestFit="1" customWidth="1"/>
    <col min="11517" max="11517" width="14.3984375" style="4" bestFit="1" customWidth="1"/>
    <col min="11518" max="11518" width="12.1328125" style="4" bestFit="1" customWidth="1"/>
    <col min="11519" max="11519" width="12.3984375" style="4" bestFit="1" customWidth="1"/>
    <col min="11520" max="11521" width="13.86328125" style="4" bestFit="1" customWidth="1"/>
    <col min="11522" max="11522" width="14.86328125" style="4" bestFit="1" customWidth="1"/>
    <col min="11523" max="11523" width="12.1328125" style="4" bestFit="1" customWidth="1"/>
    <col min="11524" max="11524" width="12.3984375" style="4" bestFit="1" customWidth="1"/>
    <col min="11525" max="11526" width="13.86328125" style="4" bestFit="1" customWidth="1"/>
    <col min="11527" max="11527" width="14.86328125" style="4" bestFit="1" customWidth="1"/>
    <col min="11528" max="11766" width="9.1328125" style="4"/>
    <col min="11767" max="11767" width="15.3984375" style="4" bestFit="1" customWidth="1"/>
    <col min="11768" max="11768" width="11.1328125" style="4" bestFit="1" customWidth="1"/>
    <col min="11769" max="11769" width="14.59765625" style="4" bestFit="1" customWidth="1"/>
    <col min="11770" max="11770" width="17.3984375" style="4" bestFit="1" customWidth="1"/>
    <col min="11771" max="11771" width="17.59765625" style="4" bestFit="1" customWidth="1"/>
    <col min="11772" max="11772" width="14.73046875" style="4" bestFit="1" customWidth="1"/>
    <col min="11773" max="11773" width="14.3984375" style="4" bestFit="1" customWidth="1"/>
    <col min="11774" max="11774" width="12.1328125" style="4" bestFit="1" customWidth="1"/>
    <col min="11775" max="11775" width="12.3984375" style="4" bestFit="1" customWidth="1"/>
    <col min="11776" max="11777" width="13.86328125" style="4" bestFit="1" customWidth="1"/>
    <col min="11778" max="11778" width="14.86328125" style="4" bestFit="1" customWidth="1"/>
    <col min="11779" max="11779" width="12.1328125" style="4" bestFit="1" customWidth="1"/>
    <col min="11780" max="11780" width="12.3984375" style="4" bestFit="1" customWidth="1"/>
    <col min="11781" max="11782" width="13.86328125" style="4" bestFit="1" customWidth="1"/>
    <col min="11783" max="11783" width="14.86328125" style="4" bestFit="1" customWidth="1"/>
    <col min="11784" max="12022" width="9.1328125" style="4"/>
    <col min="12023" max="12023" width="15.3984375" style="4" bestFit="1" customWidth="1"/>
    <col min="12024" max="12024" width="11.1328125" style="4" bestFit="1" customWidth="1"/>
    <col min="12025" max="12025" width="14.59765625" style="4" bestFit="1" customWidth="1"/>
    <col min="12026" max="12026" width="17.3984375" style="4" bestFit="1" customWidth="1"/>
    <col min="12027" max="12027" width="17.59765625" style="4" bestFit="1" customWidth="1"/>
    <col min="12028" max="12028" width="14.73046875" style="4" bestFit="1" customWidth="1"/>
    <col min="12029" max="12029" width="14.3984375" style="4" bestFit="1" customWidth="1"/>
    <col min="12030" max="12030" width="12.1328125" style="4" bestFit="1" customWidth="1"/>
    <col min="12031" max="12031" width="12.3984375" style="4" bestFit="1" customWidth="1"/>
    <col min="12032" max="12033" width="13.86328125" style="4" bestFit="1" customWidth="1"/>
    <col min="12034" max="12034" width="14.86328125" style="4" bestFit="1" customWidth="1"/>
    <col min="12035" max="12035" width="12.1328125" style="4" bestFit="1" customWidth="1"/>
    <col min="12036" max="12036" width="12.3984375" style="4" bestFit="1" customWidth="1"/>
    <col min="12037" max="12038" width="13.86328125" style="4" bestFit="1" customWidth="1"/>
    <col min="12039" max="12039" width="14.86328125" style="4" bestFit="1" customWidth="1"/>
    <col min="12040" max="12278" width="9.1328125" style="4"/>
    <col min="12279" max="12279" width="15.3984375" style="4" bestFit="1" customWidth="1"/>
    <col min="12280" max="12280" width="11.1328125" style="4" bestFit="1" customWidth="1"/>
    <col min="12281" max="12281" width="14.59765625" style="4" bestFit="1" customWidth="1"/>
    <col min="12282" max="12282" width="17.3984375" style="4" bestFit="1" customWidth="1"/>
    <col min="12283" max="12283" width="17.59765625" style="4" bestFit="1" customWidth="1"/>
    <col min="12284" max="12284" width="14.73046875" style="4" bestFit="1" customWidth="1"/>
    <col min="12285" max="12285" width="14.3984375" style="4" bestFit="1" customWidth="1"/>
    <col min="12286" max="12286" width="12.1328125" style="4" bestFit="1" customWidth="1"/>
    <col min="12287" max="12287" width="12.3984375" style="4" bestFit="1" customWidth="1"/>
    <col min="12288" max="12289" width="13.86328125" style="4" bestFit="1" customWidth="1"/>
    <col min="12290" max="12290" width="14.86328125" style="4" bestFit="1" customWidth="1"/>
    <col min="12291" max="12291" width="12.1328125" style="4" bestFit="1" customWidth="1"/>
    <col min="12292" max="12292" width="12.3984375" style="4" bestFit="1" customWidth="1"/>
    <col min="12293" max="12294" width="13.86328125" style="4" bestFit="1" customWidth="1"/>
    <col min="12295" max="12295" width="14.86328125" style="4" bestFit="1" customWidth="1"/>
    <col min="12296" max="12534" width="9.1328125" style="4"/>
    <col min="12535" max="12535" width="15.3984375" style="4" bestFit="1" customWidth="1"/>
    <col min="12536" max="12536" width="11.1328125" style="4" bestFit="1" customWidth="1"/>
    <col min="12537" max="12537" width="14.59765625" style="4" bestFit="1" customWidth="1"/>
    <col min="12538" max="12538" width="17.3984375" style="4" bestFit="1" customWidth="1"/>
    <col min="12539" max="12539" width="17.59765625" style="4" bestFit="1" customWidth="1"/>
    <col min="12540" max="12540" width="14.73046875" style="4" bestFit="1" customWidth="1"/>
    <col min="12541" max="12541" width="14.3984375" style="4" bestFit="1" customWidth="1"/>
    <col min="12542" max="12542" width="12.1328125" style="4" bestFit="1" customWidth="1"/>
    <col min="12543" max="12543" width="12.3984375" style="4" bestFit="1" customWidth="1"/>
    <col min="12544" max="12545" width="13.86328125" style="4" bestFit="1" customWidth="1"/>
    <col min="12546" max="12546" width="14.86328125" style="4" bestFit="1" customWidth="1"/>
    <col min="12547" max="12547" width="12.1328125" style="4" bestFit="1" customWidth="1"/>
    <col min="12548" max="12548" width="12.3984375" style="4" bestFit="1" customWidth="1"/>
    <col min="12549" max="12550" width="13.86328125" style="4" bestFit="1" customWidth="1"/>
    <col min="12551" max="12551" width="14.86328125" style="4" bestFit="1" customWidth="1"/>
    <col min="12552" max="12790" width="9.1328125" style="4"/>
    <col min="12791" max="12791" width="15.3984375" style="4" bestFit="1" customWidth="1"/>
    <col min="12792" max="12792" width="11.1328125" style="4" bestFit="1" customWidth="1"/>
    <col min="12793" max="12793" width="14.59765625" style="4" bestFit="1" customWidth="1"/>
    <col min="12794" max="12794" width="17.3984375" style="4" bestFit="1" customWidth="1"/>
    <col min="12795" max="12795" width="17.59765625" style="4" bestFit="1" customWidth="1"/>
    <col min="12796" max="12796" width="14.73046875" style="4" bestFit="1" customWidth="1"/>
    <col min="12797" max="12797" width="14.3984375" style="4" bestFit="1" customWidth="1"/>
    <col min="12798" max="12798" width="12.1328125" style="4" bestFit="1" customWidth="1"/>
    <col min="12799" max="12799" width="12.3984375" style="4" bestFit="1" customWidth="1"/>
    <col min="12800" max="12801" width="13.86328125" style="4" bestFit="1" customWidth="1"/>
    <col min="12802" max="12802" width="14.86328125" style="4" bestFit="1" customWidth="1"/>
    <col min="12803" max="12803" width="12.1328125" style="4" bestFit="1" customWidth="1"/>
    <col min="12804" max="12804" width="12.3984375" style="4" bestFit="1" customWidth="1"/>
    <col min="12805" max="12806" width="13.86328125" style="4" bestFit="1" customWidth="1"/>
    <col min="12807" max="12807" width="14.86328125" style="4" bestFit="1" customWidth="1"/>
    <col min="12808" max="13046" width="9.1328125" style="4"/>
    <col min="13047" max="13047" width="15.3984375" style="4" bestFit="1" customWidth="1"/>
    <col min="13048" max="13048" width="11.1328125" style="4" bestFit="1" customWidth="1"/>
    <col min="13049" max="13049" width="14.59765625" style="4" bestFit="1" customWidth="1"/>
    <col min="13050" max="13050" width="17.3984375" style="4" bestFit="1" customWidth="1"/>
    <col min="13051" max="13051" width="17.59765625" style="4" bestFit="1" customWidth="1"/>
    <col min="13052" max="13052" width="14.73046875" style="4" bestFit="1" customWidth="1"/>
    <col min="13053" max="13053" width="14.3984375" style="4" bestFit="1" customWidth="1"/>
    <col min="13054" max="13054" width="12.1328125" style="4" bestFit="1" customWidth="1"/>
    <col min="13055" max="13055" width="12.3984375" style="4" bestFit="1" customWidth="1"/>
    <col min="13056" max="13057" width="13.86328125" style="4" bestFit="1" customWidth="1"/>
    <col min="13058" max="13058" width="14.86328125" style="4" bestFit="1" customWidth="1"/>
    <col min="13059" max="13059" width="12.1328125" style="4" bestFit="1" customWidth="1"/>
    <col min="13060" max="13060" width="12.3984375" style="4" bestFit="1" customWidth="1"/>
    <col min="13061" max="13062" width="13.86328125" style="4" bestFit="1" customWidth="1"/>
    <col min="13063" max="13063" width="14.86328125" style="4" bestFit="1" customWidth="1"/>
    <col min="13064" max="13302" width="9.1328125" style="4"/>
    <col min="13303" max="13303" width="15.3984375" style="4" bestFit="1" customWidth="1"/>
    <col min="13304" max="13304" width="11.1328125" style="4" bestFit="1" customWidth="1"/>
    <col min="13305" max="13305" width="14.59765625" style="4" bestFit="1" customWidth="1"/>
    <col min="13306" max="13306" width="17.3984375" style="4" bestFit="1" customWidth="1"/>
    <col min="13307" max="13307" width="17.59765625" style="4" bestFit="1" customWidth="1"/>
    <col min="13308" max="13308" width="14.73046875" style="4" bestFit="1" customWidth="1"/>
    <col min="13309" max="13309" width="14.3984375" style="4" bestFit="1" customWidth="1"/>
    <col min="13310" max="13310" width="12.1328125" style="4" bestFit="1" customWidth="1"/>
    <col min="13311" max="13311" width="12.3984375" style="4" bestFit="1" customWidth="1"/>
    <col min="13312" max="13313" width="13.86328125" style="4" bestFit="1" customWidth="1"/>
    <col min="13314" max="13314" width="14.86328125" style="4" bestFit="1" customWidth="1"/>
    <col min="13315" max="13315" width="12.1328125" style="4" bestFit="1" customWidth="1"/>
    <col min="13316" max="13316" width="12.3984375" style="4" bestFit="1" customWidth="1"/>
    <col min="13317" max="13318" width="13.86328125" style="4" bestFit="1" customWidth="1"/>
    <col min="13319" max="13319" width="14.86328125" style="4" bestFit="1" customWidth="1"/>
    <col min="13320" max="13558" width="9.1328125" style="4"/>
    <col min="13559" max="13559" width="15.3984375" style="4" bestFit="1" customWidth="1"/>
    <col min="13560" max="13560" width="11.1328125" style="4" bestFit="1" customWidth="1"/>
    <col min="13561" max="13561" width="14.59765625" style="4" bestFit="1" customWidth="1"/>
    <col min="13562" max="13562" width="17.3984375" style="4" bestFit="1" customWidth="1"/>
    <col min="13563" max="13563" width="17.59765625" style="4" bestFit="1" customWidth="1"/>
    <col min="13564" max="13564" width="14.73046875" style="4" bestFit="1" customWidth="1"/>
    <col min="13565" max="13565" width="14.3984375" style="4" bestFit="1" customWidth="1"/>
    <col min="13566" max="13566" width="12.1328125" style="4" bestFit="1" customWidth="1"/>
    <col min="13567" max="13567" width="12.3984375" style="4" bestFit="1" customWidth="1"/>
    <col min="13568" max="13569" width="13.86328125" style="4" bestFit="1" customWidth="1"/>
    <col min="13570" max="13570" width="14.86328125" style="4" bestFit="1" customWidth="1"/>
    <col min="13571" max="13571" width="12.1328125" style="4" bestFit="1" customWidth="1"/>
    <col min="13572" max="13572" width="12.3984375" style="4" bestFit="1" customWidth="1"/>
    <col min="13573" max="13574" width="13.86328125" style="4" bestFit="1" customWidth="1"/>
    <col min="13575" max="13575" width="14.86328125" style="4" bestFit="1" customWidth="1"/>
    <col min="13576" max="13814" width="9.1328125" style="4"/>
    <col min="13815" max="13815" width="15.3984375" style="4" bestFit="1" customWidth="1"/>
    <col min="13816" max="13816" width="11.1328125" style="4" bestFit="1" customWidth="1"/>
    <col min="13817" max="13817" width="14.59765625" style="4" bestFit="1" customWidth="1"/>
    <col min="13818" max="13818" width="17.3984375" style="4" bestFit="1" customWidth="1"/>
    <col min="13819" max="13819" width="17.59765625" style="4" bestFit="1" customWidth="1"/>
    <col min="13820" max="13820" width="14.73046875" style="4" bestFit="1" customWidth="1"/>
    <col min="13821" max="13821" width="14.3984375" style="4" bestFit="1" customWidth="1"/>
    <col min="13822" max="13822" width="12.1328125" style="4" bestFit="1" customWidth="1"/>
    <col min="13823" max="13823" width="12.3984375" style="4" bestFit="1" customWidth="1"/>
    <col min="13824" max="13825" width="13.86328125" style="4" bestFit="1" customWidth="1"/>
    <col min="13826" max="13826" width="14.86328125" style="4" bestFit="1" customWidth="1"/>
    <col min="13827" max="13827" width="12.1328125" style="4" bestFit="1" customWidth="1"/>
    <col min="13828" max="13828" width="12.3984375" style="4" bestFit="1" customWidth="1"/>
    <col min="13829" max="13830" width="13.86328125" style="4" bestFit="1" customWidth="1"/>
    <col min="13831" max="13831" width="14.86328125" style="4" bestFit="1" customWidth="1"/>
    <col min="13832" max="14070" width="9.1328125" style="4"/>
    <col min="14071" max="14071" width="15.3984375" style="4" bestFit="1" customWidth="1"/>
    <col min="14072" max="14072" width="11.1328125" style="4" bestFit="1" customWidth="1"/>
    <col min="14073" max="14073" width="14.59765625" style="4" bestFit="1" customWidth="1"/>
    <col min="14074" max="14074" width="17.3984375" style="4" bestFit="1" customWidth="1"/>
    <col min="14075" max="14075" width="17.59765625" style="4" bestFit="1" customWidth="1"/>
    <col min="14076" max="14076" width="14.73046875" style="4" bestFit="1" customWidth="1"/>
    <col min="14077" max="14077" width="14.3984375" style="4" bestFit="1" customWidth="1"/>
    <col min="14078" max="14078" width="12.1328125" style="4" bestFit="1" customWidth="1"/>
    <col min="14079" max="14079" width="12.3984375" style="4" bestFit="1" customWidth="1"/>
    <col min="14080" max="14081" width="13.86328125" style="4" bestFit="1" customWidth="1"/>
    <col min="14082" max="14082" width="14.86328125" style="4" bestFit="1" customWidth="1"/>
    <col min="14083" max="14083" width="12.1328125" style="4" bestFit="1" customWidth="1"/>
    <col min="14084" max="14084" width="12.3984375" style="4" bestFit="1" customWidth="1"/>
    <col min="14085" max="14086" width="13.86328125" style="4" bestFit="1" customWidth="1"/>
    <col min="14087" max="14087" width="14.86328125" style="4" bestFit="1" customWidth="1"/>
    <col min="14088" max="14326" width="9.1328125" style="4"/>
    <col min="14327" max="14327" width="15.3984375" style="4" bestFit="1" customWidth="1"/>
    <col min="14328" max="14328" width="11.1328125" style="4" bestFit="1" customWidth="1"/>
    <col min="14329" max="14329" width="14.59765625" style="4" bestFit="1" customWidth="1"/>
    <col min="14330" max="14330" width="17.3984375" style="4" bestFit="1" customWidth="1"/>
    <col min="14331" max="14331" width="17.59765625" style="4" bestFit="1" customWidth="1"/>
    <col min="14332" max="14332" width="14.73046875" style="4" bestFit="1" customWidth="1"/>
    <col min="14333" max="14333" width="14.3984375" style="4" bestFit="1" customWidth="1"/>
    <col min="14334" max="14334" width="12.1328125" style="4" bestFit="1" customWidth="1"/>
    <col min="14335" max="14335" width="12.3984375" style="4" bestFit="1" customWidth="1"/>
    <col min="14336" max="14337" width="13.86328125" style="4" bestFit="1" customWidth="1"/>
    <col min="14338" max="14338" width="14.86328125" style="4" bestFit="1" customWidth="1"/>
    <col min="14339" max="14339" width="12.1328125" style="4" bestFit="1" customWidth="1"/>
    <col min="14340" max="14340" width="12.3984375" style="4" bestFit="1" customWidth="1"/>
    <col min="14341" max="14342" width="13.86328125" style="4" bestFit="1" customWidth="1"/>
    <col min="14343" max="14343" width="14.86328125" style="4" bestFit="1" customWidth="1"/>
    <col min="14344" max="14582" width="9.1328125" style="4"/>
    <col min="14583" max="14583" width="15.3984375" style="4" bestFit="1" customWidth="1"/>
    <col min="14584" max="14584" width="11.1328125" style="4" bestFit="1" customWidth="1"/>
    <col min="14585" max="14585" width="14.59765625" style="4" bestFit="1" customWidth="1"/>
    <col min="14586" max="14586" width="17.3984375" style="4" bestFit="1" customWidth="1"/>
    <col min="14587" max="14587" width="17.59765625" style="4" bestFit="1" customWidth="1"/>
    <col min="14588" max="14588" width="14.73046875" style="4" bestFit="1" customWidth="1"/>
    <col min="14589" max="14589" width="14.3984375" style="4" bestFit="1" customWidth="1"/>
    <col min="14590" max="14590" width="12.1328125" style="4" bestFit="1" customWidth="1"/>
    <col min="14591" max="14591" width="12.3984375" style="4" bestFit="1" customWidth="1"/>
    <col min="14592" max="14593" width="13.86328125" style="4" bestFit="1" customWidth="1"/>
    <col min="14594" max="14594" width="14.86328125" style="4" bestFit="1" customWidth="1"/>
    <col min="14595" max="14595" width="12.1328125" style="4" bestFit="1" customWidth="1"/>
    <col min="14596" max="14596" width="12.3984375" style="4" bestFit="1" customWidth="1"/>
    <col min="14597" max="14598" width="13.86328125" style="4" bestFit="1" customWidth="1"/>
    <col min="14599" max="14599" width="14.86328125" style="4" bestFit="1" customWidth="1"/>
    <col min="14600" max="14838" width="9.1328125" style="4"/>
    <col min="14839" max="14839" width="15.3984375" style="4" bestFit="1" customWidth="1"/>
    <col min="14840" max="14840" width="11.1328125" style="4" bestFit="1" customWidth="1"/>
    <col min="14841" max="14841" width="14.59765625" style="4" bestFit="1" customWidth="1"/>
    <col min="14842" max="14842" width="17.3984375" style="4" bestFit="1" customWidth="1"/>
    <col min="14843" max="14843" width="17.59765625" style="4" bestFit="1" customWidth="1"/>
    <col min="14844" max="14844" width="14.73046875" style="4" bestFit="1" customWidth="1"/>
    <col min="14845" max="14845" width="14.3984375" style="4" bestFit="1" customWidth="1"/>
    <col min="14846" max="14846" width="12.1328125" style="4" bestFit="1" customWidth="1"/>
    <col min="14847" max="14847" width="12.3984375" style="4" bestFit="1" customWidth="1"/>
    <col min="14848" max="14849" width="13.86328125" style="4" bestFit="1" customWidth="1"/>
    <col min="14850" max="14850" width="14.86328125" style="4" bestFit="1" customWidth="1"/>
    <col min="14851" max="14851" width="12.1328125" style="4" bestFit="1" customWidth="1"/>
    <col min="14852" max="14852" width="12.3984375" style="4" bestFit="1" customWidth="1"/>
    <col min="14853" max="14854" width="13.86328125" style="4" bestFit="1" customWidth="1"/>
    <col min="14855" max="14855" width="14.86328125" style="4" bestFit="1" customWidth="1"/>
    <col min="14856" max="15094" width="9.1328125" style="4"/>
    <col min="15095" max="15095" width="15.3984375" style="4" bestFit="1" customWidth="1"/>
    <col min="15096" max="15096" width="11.1328125" style="4" bestFit="1" customWidth="1"/>
    <col min="15097" max="15097" width="14.59765625" style="4" bestFit="1" customWidth="1"/>
    <col min="15098" max="15098" width="17.3984375" style="4" bestFit="1" customWidth="1"/>
    <col min="15099" max="15099" width="17.59765625" style="4" bestFit="1" customWidth="1"/>
    <col min="15100" max="15100" width="14.73046875" style="4" bestFit="1" customWidth="1"/>
    <col min="15101" max="15101" width="14.3984375" style="4" bestFit="1" customWidth="1"/>
    <col min="15102" max="15102" width="12.1328125" style="4" bestFit="1" customWidth="1"/>
    <col min="15103" max="15103" width="12.3984375" style="4" bestFit="1" customWidth="1"/>
    <col min="15104" max="15105" width="13.86328125" style="4" bestFit="1" customWidth="1"/>
    <col min="15106" max="15106" width="14.86328125" style="4" bestFit="1" customWidth="1"/>
    <col min="15107" max="15107" width="12.1328125" style="4" bestFit="1" customWidth="1"/>
    <col min="15108" max="15108" width="12.3984375" style="4" bestFit="1" customWidth="1"/>
    <col min="15109" max="15110" width="13.86328125" style="4" bestFit="1" customWidth="1"/>
    <col min="15111" max="15111" width="14.86328125" style="4" bestFit="1" customWidth="1"/>
    <col min="15112" max="15350" width="9.1328125" style="4"/>
    <col min="15351" max="15351" width="15.3984375" style="4" bestFit="1" customWidth="1"/>
    <col min="15352" max="15352" width="11.1328125" style="4" bestFit="1" customWidth="1"/>
    <col min="15353" max="15353" width="14.59765625" style="4" bestFit="1" customWidth="1"/>
    <col min="15354" max="15354" width="17.3984375" style="4" bestFit="1" customWidth="1"/>
    <col min="15355" max="15355" width="17.59765625" style="4" bestFit="1" customWidth="1"/>
    <col min="15356" max="15356" width="14.73046875" style="4" bestFit="1" customWidth="1"/>
    <col min="15357" max="15357" width="14.3984375" style="4" bestFit="1" customWidth="1"/>
    <col min="15358" max="15358" width="12.1328125" style="4" bestFit="1" customWidth="1"/>
    <col min="15359" max="15359" width="12.3984375" style="4" bestFit="1" customWidth="1"/>
    <col min="15360" max="15361" width="13.86328125" style="4" bestFit="1" customWidth="1"/>
    <col min="15362" max="15362" width="14.86328125" style="4" bestFit="1" customWidth="1"/>
    <col min="15363" max="15363" width="12.1328125" style="4" bestFit="1" customWidth="1"/>
    <col min="15364" max="15364" width="12.3984375" style="4" bestFit="1" customWidth="1"/>
    <col min="15365" max="15366" width="13.86328125" style="4" bestFit="1" customWidth="1"/>
    <col min="15367" max="15367" width="14.86328125" style="4" bestFit="1" customWidth="1"/>
    <col min="15368" max="15606" width="9.1328125" style="4"/>
    <col min="15607" max="15607" width="15.3984375" style="4" bestFit="1" customWidth="1"/>
    <col min="15608" max="15608" width="11.1328125" style="4" bestFit="1" customWidth="1"/>
    <col min="15609" max="15609" width="14.59765625" style="4" bestFit="1" customWidth="1"/>
    <col min="15610" max="15610" width="17.3984375" style="4" bestFit="1" customWidth="1"/>
    <col min="15611" max="15611" width="17.59765625" style="4" bestFit="1" customWidth="1"/>
    <col min="15612" max="15612" width="14.73046875" style="4" bestFit="1" customWidth="1"/>
    <col min="15613" max="15613" width="14.3984375" style="4" bestFit="1" customWidth="1"/>
    <col min="15614" max="15614" width="12.1328125" style="4" bestFit="1" customWidth="1"/>
    <col min="15615" max="15615" width="12.3984375" style="4" bestFit="1" customWidth="1"/>
    <col min="15616" max="15617" width="13.86328125" style="4" bestFit="1" customWidth="1"/>
    <col min="15618" max="15618" width="14.86328125" style="4" bestFit="1" customWidth="1"/>
    <col min="15619" max="15619" width="12.1328125" style="4" bestFit="1" customWidth="1"/>
    <col min="15620" max="15620" width="12.3984375" style="4" bestFit="1" customWidth="1"/>
    <col min="15621" max="15622" width="13.86328125" style="4" bestFit="1" customWidth="1"/>
    <col min="15623" max="15623" width="14.86328125" style="4" bestFit="1" customWidth="1"/>
    <col min="15624" max="15862" width="9.1328125" style="4"/>
    <col min="15863" max="15863" width="15.3984375" style="4" bestFit="1" customWidth="1"/>
    <col min="15864" max="15864" width="11.1328125" style="4" bestFit="1" customWidth="1"/>
    <col min="15865" max="15865" width="14.59765625" style="4" bestFit="1" customWidth="1"/>
    <col min="15866" max="15866" width="17.3984375" style="4" bestFit="1" customWidth="1"/>
    <col min="15867" max="15867" width="17.59765625" style="4" bestFit="1" customWidth="1"/>
    <col min="15868" max="15868" width="14.73046875" style="4" bestFit="1" customWidth="1"/>
    <col min="15869" max="15869" width="14.3984375" style="4" bestFit="1" customWidth="1"/>
    <col min="15870" max="15870" width="12.1328125" style="4" bestFit="1" customWidth="1"/>
    <col min="15871" max="15871" width="12.3984375" style="4" bestFit="1" customWidth="1"/>
    <col min="15872" max="15873" width="13.86328125" style="4" bestFit="1" customWidth="1"/>
    <col min="15874" max="15874" width="14.86328125" style="4" bestFit="1" customWidth="1"/>
    <col min="15875" max="15875" width="12.1328125" style="4" bestFit="1" customWidth="1"/>
    <col min="15876" max="15876" width="12.3984375" style="4" bestFit="1" customWidth="1"/>
    <col min="15877" max="15878" width="13.86328125" style="4" bestFit="1" customWidth="1"/>
    <col min="15879" max="15879" width="14.86328125" style="4" bestFit="1" customWidth="1"/>
    <col min="15880" max="16118" width="9.1328125" style="4"/>
    <col min="16119" max="16119" width="15.3984375" style="4" bestFit="1" customWidth="1"/>
    <col min="16120" max="16120" width="11.1328125" style="4" bestFit="1" customWidth="1"/>
    <col min="16121" max="16121" width="14.59765625" style="4" bestFit="1" customWidth="1"/>
    <col min="16122" max="16122" width="17.3984375" style="4" bestFit="1" customWidth="1"/>
    <col min="16123" max="16123" width="17.59765625" style="4" bestFit="1" customWidth="1"/>
    <col min="16124" max="16124" width="14.73046875" style="4" bestFit="1" customWidth="1"/>
    <col min="16125" max="16125" width="14.3984375" style="4" bestFit="1" customWidth="1"/>
    <col min="16126" max="16126" width="12.1328125" style="4" bestFit="1" customWidth="1"/>
    <col min="16127" max="16127" width="12.3984375" style="4" bestFit="1" customWidth="1"/>
    <col min="16128" max="16129" width="13.86328125" style="4" bestFit="1" customWidth="1"/>
    <col min="16130" max="16130" width="14.86328125" style="4" bestFit="1" customWidth="1"/>
    <col min="16131" max="16131" width="12.1328125" style="4" bestFit="1" customWidth="1"/>
    <col min="16132" max="16132" width="12.3984375" style="4" bestFit="1" customWidth="1"/>
    <col min="16133" max="16134" width="13.86328125" style="4" bestFit="1" customWidth="1"/>
    <col min="16135" max="16135" width="14.86328125" style="4" bestFit="1" customWidth="1"/>
    <col min="16136" max="16384" width="9.1328125" style="4"/>
  </cols>
  <sheetData>
    <row r="1" spans="1:9">
      <c r="A1" s="57" t="s">
        <v>323</v>
      </c>
      <c r="B1" s="87" t="s">
        <v>324</v>
      </c>
      <c r="C1" s="58" t="s">
        <v>322</v>
      </c>
      <c r="D1" s="59" t="s">
        <v>232</v>
      </c>
      <c r="E1" s="59" t="s">
        <v>233</v>
      </c>
      <c r="F1" s="59" t="s">
        <v>234</v>
      </c>
      <c r="G1" s="59" t="s">
        <v>235</v>
      </c>
      <c r="H1" s="59" t="s">
        <v>237</v>
      </c>
      <c r="I1" s="59" t="s">
        <v>236</v>
      </c>
    </row>
    <row r="2" spans="1:9">
      <c r="A2" s="60" t="s">
        <v>5</v>
      </c>
      <c r="B2" s="76" t="s">
        <v>6</v>
      </c>
      <c r="C2" s="58">
        <v>5</v>
      </c>
      <c r="D2" s="61">
        <f>IFERROR((($C2*st_DL)/st_out!C2),".")</f>
        <v>23.413378030871002</v>
      </c>
      <c r="E2" s="61">
        <f>IFERROR((($C2*st_DL)/st_out!D2),".")</f>
        <v>41024.831871660972</v>
      </c>
      <c r="F2" s="61">
        <f>IFERROR((($C2*st_DL)/st_out!E2),".")</f>
        <v>443.95055606914565</v>
      </c>
      <c r="G2" s="61">
        <f>IFERROR((($C2*st_DL)/st_out!F2),".")</f>
        <v>1.6821323994377871E-2</v>
      </c>
      <c r="H2" s="61">
        <f>IFERROR((($C2*st_DL)/st_out!G2),".")</f>
        <v>467.380755424011</v>
      </c>
      <c r="I2" s="61">
        <f>IFERROR((($C2*st_DL)/st_out!H2),".")</f>
        <v>41048.262071015837</v>
      </c>
    </row>
    <row r="3" spans="1:9">
      <c r="A3" s="62" t="s">
        <v>7</v>
      </c>
      <c r="B3" s="76" t="s">
        <v>8</v>
      </c>
      <c r="C3" s="58">
        <v>5</v>
      </c>
      <c r="D3" s="61">
        <f>IFERROR((($C3*st_DL)/st_out!C3),".")</f>
        <v>123.73909632895557</v>
      </c>
      <c r="E3" s="61">
        <f>IFERROR((($C3*st_DL)/st_out!D3),".")</f>
        <v>438402.61509912228</v>
      </c>
      <c r="F3" s="61">
        <f>IFERROR((($C3*st_DL)/st_out!E3),".")</f>
        <v>4744.1775109349865</v>
      </c>
      <c r="G3" s="61">
        <f>IFERROR((($C3*st_DL)/st_out!F3),".")</f>
        <v>2.7912507184543051E-2</v>
      </c>
      <c r="H3" s="61">
        <f>IFERROR((($C3*st_DL)/st_out!G3),".")</f>
        <v>4867.9445197711275</v>
      </c>
      <c r="I3" s="61">
        <f>IFERROR((($C3*st_DL)/st_out!H3),".")</f>
        <v>438526.38210795843</v>
      </c>
    </row>
    <row r="4" spans="1:9">
      <c r="A4" s="60" t="s">
        <v>9</v>
      </c>
      <c r="B4" s="88" t="s">
        <v>6</v>
      </c>
      <c r="C4" s="58">
        <v>5</v>
      </c>
      <c r="D4" s="61" t="str">
        <f>IFERROR((($C4*st_DL)/st_out!C4),".")</f>
        <v>.</v>
      </c>
      <c r="E4" s="61" t="str">
        <f>IFERROR((($C4*st_DL)/st_out!D4),".")</f>
        <v>.</v>
      </c>
      <c r="F4" s="61" t="str">
        <f>IFERROR((($C4*st_DL)/st_out!E4),".")</f>
        <v>.</v>
      </c>
      <c r="G4" s="61">
        <f>IFERROR((($C4*st_DL)/st_out!F4),".")</f>
        <v>2.6953446331954791E-4</v>
      </c>
      <c r="H4" s="61">
        <f>IFERROR((($C4*st_DL)/st_out!G4),".")</f>
        <v>2.6953446331954791E-4</v>
      </c>
      <c r="I4" s="61">
        <f>IFERROR((($C4*st_DL)/st_out!H4),".")</f>
        <v>2.6953446331954791E-4</v>
      </c>
    </row>
    <row r="5" spans="1:9">
      <c r="A5" s="60" t="s">
        <v>10</v>
      </c>
      <c r="B5" s="88" t="s">
        <v>6</v>
      </c>
      <c r="C5" s="58">
        <v>5</v>
      </c>
      <c r="D5" s="61" t="str">
        <f>IFERROR((($C5*st_DL)/st_out!C5),".")</f>
        <v>.</v>
      </c>
      <c r="E5" s="61" t="str">
        <f>IFERROR((($C5*st_DL)/st_out!D5),".")</f>
        <v>.</v>
      </c>
      <c r="F5" s="61" t="str">
        <f>IFERROR((($C5*st_DL)/st_out!E5),".")</f>
        <v>.</v>
      </c>
      <c r="G5" s="61">
        <f>IFERROR((($C5*st_DL)/st_out!F5),".")</f>
        <v>1.4611647588106874E-4</v>
      </c>
      <c r="H5" s="61">
        <f>IFERROR((($C5*st_DL)/st_out!G5),".")</f>
        <v>1.4611647588106874E-4</v>
      </c>
      <c r="I5" s="61">
        <f>IFERROR((($C5*st_DL)/st_out!H5),".")</f>
        <v>1.4611647588106874E-4</v>
      </c>
    </row>
    <row r="6" spans="1:9">
      <c r="A6" s="60" t="s">
        <v>11</v>
      </c>
      <c r="B6" s="88" t="s">
        <v>6</v>
      </c>
      <c r="C6" s="58">
        <v>5</v>
      </c>
      <c r="D6" s="61" t="str">
        <f>IFERROR((($C6*st_DL)/st_out!C6),".")</f>
        <v>.</v>
      </c>
      <c r="E6" s="61" t="str">
        <f>IFERROR((($C6*st_DL)/st_out!D6),".")</f>
        <v>.</v>
      </c>
      <c r="F6" s="61" t="str">
        <f>IFERROR((($C6*st_DL)/st_out!E6),".")</f>
        <v>.</v>
      </c>
      <c r="G6" s="61">
        <f>IFERROR((($C6*st_DL)/st_out!F6),".")</f>
        <v>0.66425435489933082</v>
      </c>
      <c r="H6" s="61">
        <f>IFERROR((($C6*st_DL)/st_out!G6),".")</f>
        <v>0.66425435489933082</v>
      </c>
      <c r="I6" s="61">
        <f>IFERROR((($C6*st_DL)/st_out!H6),".")</f>
        <v>0.66425435489933082</v>
      </c>
    </row>
    <row r="7" spans="1:9">
      <c r="A7" s="60" t="s">
        <v>12</v>
      </c>
      <c r="B7" s="88" t="s">
        <v>6</v>
      </c>
      <c r="C7" s="58">
        <v>5</v>
      </c>
      <c r="D7" s="61">
        <f>IFERROR((($C7*st_DL)/st_out!C7),".")</f>
        <v>0.79459909897515579</v>
      </c>
      <c r="E7" s="61">
        <f>IFERROR((($C7*st_DL)/st_out!D7),".")</f>
        <v>652.46464632489131</v>
      </c>
      <c r="F7" s="61">
        <f>IFERROR((($C7*st_DL)/st_out!E7),".")</f>
        <v>7.060651545326281</v>
      </c>
      <c r="G7" s="61">
        <f>IFERROR((($C7*st_DL)/st_out!F7),".")</f>
        <v>4.1484280626788703E-2</v>
      </c>
      <c r="H7" s="61">
        <f>IFERROR((($C7*st_DL)/st_out!G7),".")</f>
        <v>7.8967349249282259</v>
      </c>
      <c r="I7" s="61">
        <f>IFERROR((($C7*st_DL)/st_out!H7),".")</f>
        <v>653.30072970449328</v>
      </c>
    </row>
    <row r="8" spans="1:9">
      <c r="A8" s="60" t="s">
        <v>13</v>
      </c>
      <c r="B8" s="88" t="s">
        <v>6</v>
      </c>
      <c r="C8" s="58">
        <v>5</v>
      </c>
      <c r="D8" s="61">
        <f>IFERROR((($C8*st_DL)/st_out!C8),".")</f>
        <v>0.12009971114280982</v>
      </c>
      <c r="E8" s="61">
        <f>IFERROR((($C8*st_DL)/st_out!D8),".")</f>
        <v>158.64722564749067</v>
      </c>
      <c r="F8" s="61">
        <f>IFERROR((($C8*st_DL)/st_out!E8),".")</f>
        <v>1.716802259308787</v>
      </c>
      <c r="G8" s="61">
        <f>IFERROR((($C8*st_DL)/st_out!F8),".")</f>
        <v>0.18891546056242309</v>
      </c>
      <c r="H8" s="61">
        <f>IFERROR((($C8*st_DL)/st_out!G8),".")</f>
        <v>2.02581743101402</v>
      </c>
      <c r="I8" s="61">
        <f>IFERROR((($C8*st_DL)/st_out!H8),".")</f>
        <v>158.95624081919593</v>
      </c>
    </row>
    <row r="9" spans="1:9">
      <c r="A9" s="60" t="s">
        <v>14</v>
      </c>
      <c r="B9" s="88" t="s">
        <v>6</v>
      </c>
      <c r="C9" s="58">
        <v>5</v>
      </c>
      <c r="D9" s="61">
        <f>IFERROR((($C9*st_DL)/st_out!C9),".")</f>
        <v>6.7935190141387367E-2</v>
      </c>
      <c r="E9" s="61">
        <f>IFERROR((($C9*st_DL)/st_out!D9),".")</f>
        <v>44.206231128269188</v>
      </c>
      <c r="F9" s="61">
        <f>IFERROR((($C9*st_DL)/st_out!E9),".")</f>
        <v>0.47837809433347245</v>
      </c>
      <c r="G9" s="61">
        <f>IFERROR((($C9*st_DL)/st_out!F9),".")</f>
        <v>1.59690656892459</v>
      </c>
      <c r="H9" s="61">
        <f>IFERROR((($C9*st_DL)/st_out!G9),".")</f>
        <v>2.14321985339945</v>
      </c>
      <c r="I9" s="61">
        <f>IFERROR((($C9*st_DL)/st_out!H9),".")</f>
        <v>45.871072887335174</v>
      </c>
    </row>
    <row r="10" spans="1:9">
      <c r="A10" s="62" t="s">
        <v>15</v>
      </c>
      <c r="B10" s="88" t="s">
        <v>8</v>
      </c>
      <c r="C10" s="58">
        <v>5</v>
      </c>
      <c r="D10" s="61">
        <f>IFERROR((($C10*st_DL)/st_out!C10),".")</f>
        <v>8.2492730885970378</v>
      </c>
      <c r="E10" s="61">
        <f>IFERROR((($C10*st_DL)/st_out!D10),".")</f>
        <v>186.35462843662989</v>
      </c>
      <c r="F10" s="61">
        <f>IFERROR((($C10*st_DL)/st_out!E10),".")</f>
        <v>2.0166381468500401</v>
      </c>
      <c r="G10" s="61">
        <f>IFERROR((($C10*st_DL)/st_out!F10),".")</f>
        <v>3.6799499852966538E-3</v>
      </c>
      <c r="H10" s="61">
        <f>IFERROR((($C10*st_DL)/st_out!G10),".")</f>
        <v>10.269591185432374</v>
      </c>
      <c r="I10" s="61">
        <f>IFERROR((($C10*st_DL)/st_out!H10),".")</f>
        <v>194.60758147521224</v>
      </c>
    </row>
    <row r="11" spans="1:9">
      <c r="A11" s="60" t="s">
        <v>16</v>
      </c>
      <c r="B11" s="88" t="s">
        <v>6</v>
      </c>
      <c r="C11" s="58">
        <v>5</v>
      </c>
      <c r="D11" s="61" t="str">
        <f>IFERROR((($C11*st_DL)/st_out!C11),".")</f>
        <v>.</v>
      </c>
      <c r="E11" s="61" t="str">
        <f>IFERROR((($C11*st_DL)/st_out!D11),".")</f>
        <v>.</v>
      </c>
      <c r="F11" s="61" t="str">
        <f>IFERROR((($C11*st_DL)/st_out!E11),".")</f>
        <v>.</v>
      </c>
      <c r="G11" s="61">
        <f>IFERROR((($C11*st_DL)/st_out!F11),".")</f>
        <v>3.2406328486550458E-2</v>
      </c>
      <c r="H11" s="61">
        <f>IFERROR((($C11*st_DL)/st_out!G11),".")</f>
        <v>3.2406328486550451E-2</v>
      </c>
      <c r="I11" s="61">
        <f>IFERROR((($C11*st_DL)/st_out!H11),".")</f>
        <v>3.2406328486550451E-2</v>
      </c>
    </row>
    <row r="12" spans="1:9">
      <c r="A12" s="60" t="s">
        <v>17</v>
      </c>
      <c r="B12" s="88" t="s">
        <v>6</v>
      </c>
      <c r="C12" s="58">
        <v>5</v>
      </c>
      <c r="D12" s="61" t="str">
        <f>IFERROR((($C12*st_DL)/st_out!C12),".")</f>
        <v>.</v>
      </c>
      <c r="E12" s="61" t="str">
        <f>IFERROR((($C12*st_DL)/st_out!D12),".")</f>
        <v>.</v>
      </c>
      <c r="F12" s="61" t="str">
        <f>IFERROR((($C12*st_DL)/st_out!E12),".")</f>
        <v>.</v>
      </c>
      <c r="G12" s="61">
        <f>IFERROR((($C12*st_DL)/st_out!F12),".")</f>
        <v>0.1745270168356127</v>
      </c>
      <c r="H12" s="61">
        <f>IFERROR((($C12*st_DL)/st_out!G12),".")</f>
        <v>0.1745270168356127</v>
      </c>
      <c r="I12" s="61">
        <f>IFERROR((($C12*st_DL)/st_out!H12),".")</f>
        <v>0.1745270168356127</v>
      </c>
    </row>
    <row r="13" spans="1:9">
      <c r="A13" s="60" t="s">
        <v>18</v>
      </c>
      <c r="B13" s="88" t="s">
        <v>6</v>
      </c>
      <c r="C13" s="58">
        <v>5</v>
      </c>
      <c r="D13" s="61">
        <f>IFERROR((($C13*st_DL)/st_out!C13),".")</f>
        <v>64.902369152932565</v>
      </c>
      <c r="E13" s="61">
        <f>IFERROR((($C13*st_DL)/st_out!D13),".")</f>
        <v>56308.59276502487</v>
      </c>
      <c r="F13" s="61">
        <f>IFERROR((($C13*st_DL)/st_out!E13),".")</f>
        <v>609.34390048706246</v>
      </c>
      <c r="G13" s="61">
        <f>IFERROR((($C13*st_DL)/st_out!F13),".")</f>
        <v>3.1364328348574166E-2</v>
      </c>
      <c r="H13" s="61">
        <f>IFERROR((($C13*st_DL)/st_out!G13),".")</f>
        <v>674.27763396834359</v>
      </c>
      <c r="I13" s="61">
        <f>IFERROR((($C13*st_DL)/st_out!H13),".")</f>
        <v>56373.526498506144</v>
      </c>
    </row>
    <row r="14" spans="1:9">
      <c r="A14" s="60" t="s">
        <v>19</v>
      </c>
      <c r="B14" s="88" t="s">
        <v>6</v>
      </c>
      <c r="C14" s="58">
        <v>5</v>
      </c>
      <c r="D14" s="61">
        <f>IFERROR((($C14*st_DL)/st_out!C14),".")</f>
        <v>0.58594101496946605</v>
      </c>
      <c r="E14" s="61">
        <f>IFERROR((($C14*st_DL)/st_out!D14),".")</f>
        <v>20.378347857818525</v>
      </c>
      <c r="F14" s="61">
        <f>IFERROR((($C14*st_DL)/st_out!E14),".")</f>
        <v>0.22052445922388927</v>
      </c>
      <c r="G14" s="61">
        <f>IFERROR((($C14*st_DL)/st_out!F14),".")</f>
        <v>0.24452994177222728</v>
      </c>
      <c r="H14" s="61">
        <f>IFERROR((($C14*st_DL)/st_out!G14),".")</f>
        <v>1.0509954159655828</v>
      </c>
      <c r="I14" s="61">
        <f>IFERROR((($C14*st_DL)/st_out!H14),".")</f>
        <v>21.208818814560217</v>
      </c>
    </row>
    <row r="15" spans="1:9">
      <c r="A15" s="60" t="s">
        <v>20</v>
      </c>
      <c r="B15" s="88" t="s">
        <v>6</v>
      </c>
      <c r="C15" s="58">
        <v>5</v>
      </c>
      <c r="D15" s="61">
        <f>IFERROR((($C15*st_DL)/st_out!C15),".")</f>
        <v>3.4392190009077353E-2</v>
      </c>
      <c r="E15" s="61">
        <f>IFERROR((($C15*st_DL)/st_out!D15),".")</f>
        <v>0.31193172817450276</v>
      </c>
      <c r="F15" s="61">
        <f>IFERROR((($C15*st_DL)/st_out!E15),".")</f>
        <v>3.3755717661902345E-3</v>
      </c>
      <c r="G15" s="61">
        <f>IFERROR((($C15*st_DL)/st_out!F15),".")</f>
        <v>3.7288924644848743E-3</v>
      </c>
      <c r="H15" s="61">
        <f>IFERROR((($C15*st_DL)/st_out!G15),".")</f>
        <v>4.1496654239752462E-2</v>
      </c>
      <c r="I15" s="61">
        <f>IFERROR((($C15*st_DL)/st_out!H15),".")</f>
        <v>0.35005281064806504</v>
      </c>
    </row>
    <row r="16" spans="1:9">
      <c r="A16" s="62" t="s">
        <v>21</v>
      </c>
      <c r="B16" s="88" t="s">
        <v>6</v>
      </c>
      <c r="C16" s="58">
        <v>5</v>
      </c>
      <c r="D16" s="61">
        <f>IFERROR((($C16*st_DL)/st_out!C16),".")</f>
        <v>422.16868159290721</v>
      </c>
      <c r="E16" s="61">
        <f>IFERROR((($C16*st_DL)/st_out!D16),".")</f>
        <v>26947.68368040476</v>
      </c>
      <c r="F16" s="61">
        <f>IFERROR((($C16*st_DL)/st_out!E16),".")</f>
        <v>291.61458094737992</v>
      </c>
      <c r="G16" s="61">
        <f>IFERROR((($C16*st_DL)/st_out!F16),".")</f>
        <v>2.8184244681059472E-3</v>
      </c>
      <c r="H16" s="61">
        <f>IFERROR((($C16*st_DL)/st_out!G16),".")</f>
        <v>713.78608096475523</v>
      </c>
      <c r="I16" s="61">
        <f>IFERROR((($C16*st_DL)/st_out!H16),".")</f>
        <v>27369.855180422135</v>
      </c>
    </row>
    <row r="17" spans="1:9">
      <c r="A17" s="60" t="s">
        <v>22</v>
      </c>
      <c r="B17" s="88" t="s">
        <v>6</v>
      </c>
      <c r="C17" s="58">
        <v>5</v>
      </c>
      <c r="D17" s="61">
        <f>IFERROR((($C17*st_DL)/st_out!C17),".")</f>
        <v>8.4312423479043247E-2</v>
      </c>
      <c r="E17" s="61">
        <f>IFERROR((($C17*st_DL)/st_out!D17),".")</f>
        <v>56.28443635457225</v>
      </c>
      <c r="F17" s="61">
        <f>IFERROR((($C17*st_DL)/st_out!E17),".")</f>
        <v>0.60908249169234463</v>
      </c>
      <c r="G17" s="61">
        <f>IFERROR((($C17*st_DL)/st_out!F17),".")</f>
        <v>0.284582358755331</v>
      </c>
      <c r="H17" s="61">
        <f>IFERROR((($C17*st_DL)/st_out!G17),".")</f>
        <v>0.97797727392671885</v>
      </c>
      <c r="I17" s="61">
        <f>IFERROR((($C17*st_DL)/st_out!H17),".")</f>
        <v>56.653331136806628</v>
      </c>
    </row>
    <row r="18" spans="1:9">
      <c r="A18" s="60" t="s">
        <v>23</v>
      </c>
      <c r="B18" s="88" t="s">
        <v>6</v>
      </c>
      <c r="C18" s="58">
        <v>5</v>
      </c>
      <c r="D18" s="61">
        <f>IFERROR((($C18*st_DL)/st_out!C18),".")</f>
        <v>733.94267920605989</v>
      </c>
      <c r="E18" s="61">
        <f>IFERROR((($C18*st_DL)/st_out!D18),".")</f>
        <v>20914.620169866383</v>
      </c>
      <c r="F18" s="61">
        <f>IFERROR((($C18*st_DL)/st_out!E18),".")</f>
        <v>226.32773446662324</v>
      </c>
      <c r="G18" s="61">
        <f>IFERROR((($C18*st_DL)/st_out!F18),".")</f>
        <v>1.0554287487219529E-5</v>
      </c>
      <c r="H18" s="61">
        <f>IFERROR((($C18*st_DL)/st_out!G18),".")</f>
        <v>960.27042422697059</v>
      </c>
      <c r="I18" s="61">
        <f>IFERROR((($C18*st_DL)/st_out!H18),".")</f>
        <v>21648.562859626731</v>
      </c>
    </row>
    <row r="19" spans="1:9">
      <c r="A19" s="60" t="s">
        <v>24</v>
      </c>
      <c r="B19" s="88" t="s">
        <v>6</v>
      </c>
      <c r="C19" s="58">
        <v>5</v>
      </c>
      <c r="D19" s="61" t="str">
        <f>IFERROR((($C19*st_DL)/st_out!C19),".")</f>
        <v>.</v>
      </c>
      <c r="E19" s="61" t="str">
        <f>IFERROR((($C19*st_DL)/st_out!D19),".")</f>
        <v>.</v>
      </c>
      <c r="F19" s="61" t="str">
        <f>IFERROR((($C19*st_DL)/st_out!E19),".")</f>
        <v>.</v>
      </c>
      <c r="G19" s="61">
        <f>IFERROR((($C19*st_DL)/st_out!F19),".")</f>
        <v>4.0799463370179968E-5</v>
      </c>
      <c r="H19" s="61">
        <f>IFERROR((($C19*st_DL)/st_out!G19),".")</f>
        <v>4.0799463370179968E-5</v>
      </c>
      <c r="I19" s="61">
        <f>IFERROR((($C19*st_DL)/st_out!H19),".")</f>
        <v>4.0799463370179968E-5</v>
      </c>
    </row>
    <row r="20" spans="1:9">
      <c r="A20" s="60" t="s">
        <v>25</v>
      </c>
      <c r="B20" s="88" t="s">
        <v>6</v>
      </c>
      <c r="C20" s="58">
        <v>5</v>
      </c>
      <c r="D20" s="61" t="str">
        <f>IFERROR((($C20*st_DL)/st_out!C20),".")</f>
        <v>.</v>
      </c>
      <c r="E20" s="61" t="str">
        <f>IFERROR((($C20*st_DL)/st_out!D20),".")</f>
        <v>.</v>
      </c>
      <c r="F20" s="61" t="str">
        <f>IFERROR((($C20*st_DL)/st_out!E20),".")</f>
        <v>.</v>
      </c>
      <c r="G20" s="61">
        <f>IFERROR((($C20*st_DL)/st_out!F20),".")</f>
        <v>8.9869637727912121E-5</v>
      </c>
      <c r="H20" s="61">
        <f>IFERROR((($C20*st_DL)/st_out!G20),".")</f>
        <v>8.9869637727912121E-5</v>
      </c>
      <c r="I20" s="61">
        <f>IFERROR((($C20*st_DL)/st_out!H20),".")</f>
        <v>8.9869637727912121E-5</v>
      </c>
    </row>
    <row r="21" spans="1:9">
      <c r="A21" s="60" t="s">
        <v>26</v>
      </c>
      <c r="B21" s="88" t="s">
        <v>6</v>
      </c>
      <c r="C21" s="58">
        <v>5</v>
      </c>
      <c r="D21" s="61" t="str">
        <f>IFERROR((($C21*st_DL)/st_out!C21),".")</f>
        <v>.</v>
      </c>
      <c r="E21" s="61">
        <f>IFERROR((($C21*st_DL)/st_out!D21),".")</f>
        <v>9.2035923824429293</v>
      </c>
      <c r="F21" s="61">
        <f>IFERROR((($C21*st_DL)/st_out!E21),".")</f>
        <v>9.959675078746065E-2</v>
      </c>
      <c r="G21" s="61">
        <f>IFERROR((($C21*st_DL)/st_out!F21),".")</f>
        <v>7.7733965168728568E-9</v>
      </c>
      <c r="H21" s="61">
        <f>IFERROR((($C21*st_DL)/st_out!G21),".")</f>
        <v>9.959675856085716E-2</v>
      </c>
      <c r="I21" s="61">
        <f>IFERROR((($C21*st_DL)/st_out!H21),".")</f>
        <v>9.2035923902163272</v>
      </c>
    </row>
    <row r="22" spans="1:9">
      <c r="A22" s="60" t="s">
        <v>27</v>
      </c>
      <c r="B22" s="88" t="s">
        <v>6</v>
      </c>
      <c r="C22" s="58">
        <v>5</v>
      </c>
      <c r="D22" s="61">
        <f>IFERROR((($C22*st_DL)/st_out!C22),".")</f>
        <v>60.413794090019479</v>
      </c>
      <c r="E22" s="61">
        <f>IFERROR((($C22*st_DL)/st_out!D22),".")</f>
        <v>37583.751202687228</v>
      </c>
      <c r="F22" s="61">
        <f>IFERROR((($C22*st_DL)/st_out!E22),".")</f>
        <v>406.71287326160274</v>
      </c>
      <c r="G22" s="61">
        <f>IFERROR((($C22*st_DL)/st_out!F22),".")</f>
        <v>1.4108109122313667E-2</v>
      </c>
      <c r="H22" s="61">
        <f>IFERROR((($C22*st_DL)/st_out!G22),".")</f>
        <v>467.14077546074452</v>
      </c>
      <c r="I22" s="61">
        <f>IFERROR((($C22*st_DL)/st_out!H22),".")</f>
        <v>37644.179104886367</v>
      </c>
    </row>
    <row r="23" spans="1:9">
      <c r="A23" s="62" t="s">
        <v>28</v>
      </c>
      <c r="B23" s="88" t="s">
        <v>8</v>
      </c>
      <c r="C23" s="58">
        <v>5</v>
      </c>
      <c r="D23" s="61">
        <f>IFERROR((($C23*st_DL)/st_out!C23),".")</f>
        <v>169.83797535346841</v>
      </c>
      <c r="E23" s="61">
        <f>IFERROR((($C23*st_DL)/st_out!D23),".")</f>
        <v>46030.040117440956</v>
      </c>
      <c r="F23" s="61">
        <f>IFERROR((($C23*st_DL)/st_out!E23),".")</f>
        <v>498.11445833466217</v>
      </c>
      <c r="G23" s="61">
        <f>IFERROR((($C23*st_DL)/st_out!F23),".")</f>
        <v>8.0507691743912316E-3</v>
      </c>
      <c r="H23" s="61">
        <f>IFERROR((($C23*st_DL)/st_out!G23),".")</f>
        <v>667.96048445730503</v>
      </c>
      <c r="I23" s="61">
        <f>IFERROR((($C23*st_DL)/st_out!H23),".")</f>
        <v>46199.886143563599</v>
      </c>
    </row>
    <row r="24" spans="1:9">
      <c r="A24" s="60" t="s">
        <v>29</v>
      </c>
      <c r="B24" s="88" t="s">
        <v>6</v>
      </c>
      <c r="C24" s="58">
        <v>5</v>
      </c>
      <c r="D24" s="61" t="str">
        <f>IFERROR((($C24*st_DL)/st_out!C24),".")</f>
        <v>.</v>
      </c>
      <c r="E24" s="61" t="str">
        <f>IFERROR((($C24*st_DL)/st_out!D24),".")</f>
        <v>.</v>
      </c>
      <c r="F24" s="61" t="str">
        <f>IFERROR((($C24*st_DL)/st_out!E24),".")</f>
        <v>.</v>
      </c>
      <c r="G24" s="61">
        <f>IFERROR((($C24*st_DL)/st_out!F24),".")</f>
        <v>8.3321327681041538E-4</v>
      </c>
      <c r="H24" s="61">
        <f>IFERROR((($C24*st_DL)/st_out!G24),".")</f>
        <v>8.3321327681041527E-4</v>
      </c>
      <c r="I24" s="61">
        <f>IFERROR((($C24*st_DL)/st_out!H24),".")</f>
        <v>8.3321327681041527E-4</v>
      </c>
    </row>
    <row r="25" spans="1:9">
      <c r="A25" s="62" t="s">
        <v>30</v>
      </c>
      <c r="B25" s="88" t="s">
        <v>8</v>
      </c>
      <c r="C25" s="58">
        <v>5</v>
      </c>
      <c r="D25" s="61" t="str">
        <f>IFERROR((($C25*st_DL)/st_out!C25),".")</f>
        <v>.</v>
      </c>
      <c r="E25" s="61">
        <f>IFERROR((($C25*st_DL)/st_out!D25),".")</f>
        <v>7.9112244232285045</v>
      </c>
      <c r="F25" s="61">
        <f>IFERROR((($C25*st_DL)/st_out!E25),".")</f>
        <v>8.5611380270061335E-2</v>
      </c>
      <c r="G25" s="61">
        <f>IFERROR((($C25*st_DL)/st_out!F25),".")</f>
        <v>4.2580163852730271E-4</v>
      </c>
      <c r="H25" s="61">
        <f>IFERROR((($C25*st_DL)/st_out!G25),".")</f>
        <v>8.6037181908588625E-2</v>
      </c>
      <c r="I25" s="61">
        <f>IFERROR((($C25*st_DL)/st_out!H25),".")</f>
        <v>7.9116502248670324</v>
      </c>
    </row>
    <row r="26" spans="1:9">
      <c r="A26" s="60" t="s">
        <v>31</v>
      </c>
      <c r="B26" s="88" t="s">
        <v>6</v>
      </c>
      <c r="C26" s="58">
        <v>5</v>
      </c>
      <c r="D26" s="61">
        <f>IFERROR((($C26*st_DL)/st_out!C26),".")</f>
        <v>302.67553464778831</v>
      </c>
      <c r="E26" s="61">
        <f>IFERROR((($C26*st_DL)/st_out!D26),".")</f>
        <v>337404.66299677594</v>
      </c>
      <c r="F26" s="61">
        <f>IFERROR((($C26*st_DL)/st_out!E26),".")</f>
        <v>3651.2273402200967</v>
      </c>
      <c r="G26" s="61">
        <f>IFERROR((($C26*st_DL)/st_out!F26),".")</f>
        <v>9.8180280921932428E-2</v>
      </c>
      <c r="H26" s="61">
        <f>IFERROR((($C26*st_DL)/st_out!G26),".")</f>
        <v>3954.0010551488072</v>
      </c>
      <c r="I26" s="61">
        <f>IFERROR((($C26*st_DL)/st_out!H26),".")</f>
        <v>337707.43671170471</v>
      </c>
    </row>
    <row r="27" spans="1:9">
      <c r="A27" s="60" t="s">
        <v>32</v>
      </c>
      <c r="B27" s="88" t="s">
        <v>6</v>
      </c>
      <c r="C27" s="58">
        <v>5</v>
      </c>
      <c r="D27" s="61" t="str">
        <f>IFERROR((($C27*st_DL)/st_out!C27),".")</f>
        <v>.</v>
      </c>
      <c r="E27" s="61" t="str">
        <f>IFERROR((($C27*st_DL)/st_out!D27),".")</f>
        <v>.</v>
      </c>
      <c r="F27" s="61" t="str">
        <f>IFERROR((($C27*st_DL)/st_out!E27),".")</f>
        <v>.</v>
      </c>
      <c r="G27" s="61">
        <f>IFERROR((($C27*st_DL)/st_out!F27),".")</f>
        <v>7.487939981383461E-2</v>
      </c>
      <c r="H27" s="61">
        <f>IFERROR((($C27*st_DL)/st_out!G27),".")</f>
        <v>7.487939981383461E-2</v>
      </c>
      <c r="I27" s="61">
        <f>IFERROR((($C27*st_DL)/st_out!H27),".")</f>
        <v>7.487939981383461E-2</v>
      </c>
    </row>
    <row r="28" spans="1:9">
      <c r="A28" s="60" t="s">
        <v>33</v>
      </c>
      <c r="B28" s="88" t="s">
        <v>6</v>
      </c>
      <c r="C28" s="58">
        <v>5</v>
      </c>
      <c r="D28" s="61" t="str">
        <f>IFERROR((($C28*st_DL)/st_out!C28),".")</f>
        <v>.</v>
      </c>
      <c r="E28" s="61" t="str">
        <f>IFERROR((($C28*st_DL)/st_out!D28),".")</f>
        <v>.</v>
      </c>
      <c r="F28" s="61" t="str">
        <f>IFERROR((($C28*st_DL)/st_out!E28),".")</f>
        <v>.</v>
      </c>
      <c r="G28" s="61">
        <f>IFERROR((($C28*st_DL)/st_out!F28),".")</f>
        <v>2.2766798556014445</v>
      </c>
      <c r="H28" s="61">
        <f>IFERROR((($C28*st_DL)/st_out!G28),".")</f>
        <v>2.2766798556014445</v>
      </c>
      <c r="I28" s="61">
        <f>IFERROR((($C28*st_DL)/st_out!H28),".")</f>
        <v>2.2766798556014445</v>
      </c>
    </row>
    <row r="29" spans="1:9">
      <c r="A29" s="60" t="s">
        <v>34</v>
      </c>
      <c r="B29" s="88" t="s">
        <v>6</v>
      </c>
      <c r="C29" s="58">
        <v>5</v>
      </c>
      <c r="D29" s="61" t="str">
        <f>IFERROR((($C29*st_DL)/st_out!C29),".")</f>
        <v>.</v>
      </c>
      <c r="E29" s="61" t="str">
        <f>IFERROR((($C29*st_DL)/st_out!D29),".")</f>
        <v>.</v>
      </c>
      <c r="F29" s="61" t="str">
        <f>IFERROR((($C29*st_DL)/st_out!E29),".")</f>
        <v>.</v>
      </c>
      <c r="G29" s="61">
        <f>IFERROR((($C29*st_DL)/st_out!F29),".")</f>
        <v>2.9934549979444345</v>
      </c>
      <c r="H29" s="61">
        <f>IFERROR((($C29*st_DL)/st_out!G29),".")</f>
        <v>2.9934549979444345</v>
      </c>
      <c r="I29" s="61">
        <f>IFERROR((($C29*st_DL)/st_out!H29),".")</f>
        <v>2.9934549979444345</v>
      </c>
    </row>
    <row r="30" spans="1:9">
      <c r="A30" s="60" t="s">
        <v>35</v>
      </c>
      <c r="B30" s="88" t="s">
        <v>6</v>
      </c>
      <c r="C30" s="58">
        <v>5</v>
      </c>
      <c r="D30" s="61">
        <f>IFERROR((($C30*st_DL)/st_out!C30),".")</f>
        <v>31.056086921777084</v>
      </c>
      <c r="E30" s="61">
        <f>IFERROR((($C30*st_DL)/st_out!D30),".")</f>
        <v>46030.040117440956</v>
      </c>
      <c r="F30" s="61">
        <f>IFERROR((($C30*st_DL)/st_out!E30),".")</f>
        <v>498.11445833466217</v>
      </c>
      <c r="G30" s="61">
        <f>IFERROR((($C30*st_DL)/st_out!F30),".")</f>
        <v>6.1823504461678874E-4</v>
      </c>
      <c r="H30" s="61">
        <f>IFERROR((($C30*st_DL)/st_out!G30),".")</f>
        <v>529.17116349148387</v>
      </c>
      <c r="I30" s="61">
        <f>IFERROR((($C30*st_DL)/st_out!H30),".")</f>
        <v>46061.096822597778</v>
      </c>
    </row>
    <row r="31" spans="1:9">
      <c r="A31" s="63" t="s">
        <v>7</v>
      </c>
      <c r="B31" s="82" t="s">
        <v>6</v>
      </c>
      <c r="C31" s="58">
        <v>5</v>
      </c>
      <c r="D31" s="64">
        <f>SUM(D32:D44)</f>
        <v>606.94067354943718</v>
      </c>
      <c r="E31" s="64">
        <f t="shared" ref="E31:I31" si="0">SUM(E32:E44)</f>
        <v>956933.81248284678</v>
      </c>
      <c r="F31" s="64">
        <f t="shared" si="0"/>
        <v>10355.467135176514</v>
      </c>
      <c r="G31" s="64">
        <f t="shared" si="0"/>
        <v>0.70644866607296752</v>
      </c>
      <c r="H31" s="64">
        <f t="shared" si="0"/>
        <v>10963.114257392022</v>
      </c>
      <c r="I31" s="64">
        <f t="shared" si="0"/>
        <v>957541.4596050625</v>
      </c>
    </row>
    <row r="32" spans="1:9">
      <c r="A32" s="65" t="s">
        <v>390</v>
      </c>
      <c r="B32" s="89">
        <v>1</v>
      </c>
      <c r="C32" s="58">
        <v>5</v>
      </c>
      <c r="D32" s="61">
        <f>IFERROR((($C32*st_DL)/st_out!C32),0)</f>
        <v>123.73909632895557</v>
      </c>
      <c r="E32" s="61">
        <f>IFERROR((($C32*st_DL)/st_out!D32),0)</f>
        <v>438402.61509912228</v>
      </c>
      <c r="F32" s="61">
        <f>IFERROR((($C32*st_DL)/st_out!E32),0)</f>
        <v>4744.1775109349865</v>
      </c>
      <c r="G32" s="61">
        <f>IFERROR((($C32*st_DL)/st_out!F32),0)</f>
        <v>2.7912507184543051E-2</v>
      </c>
      <c r="H32" s="61">
        <f>IFERROR((($C32*st_DL)/st_out!G32),0)</f>
        <v>4867.9445197711275</v>
      </c>
      <c r="I32" s="61">
        <f>IFERROR((($C32*st_DL)/st_out!H32),0)</f>
        <v>438526.38210795843</v>
      </c>
    </row>
    <row r="33" spans="1:9">
      <c r="A33" s="65" t="s">
        <v>391</v>
      </c>
      <c r="B33" s="89">
        <v>1</v>
      </c>
      <c r="C33" s="58">
        <v>5</v>
      </c>
      <c r="D33" s="61">
        <f>IFERROR((($C33*st_DL)/st_out!C33),0)</f>
        <v>64.902369152932565</v>
      </c>
      <c r="E33" s="61">
        <f>IFERROR((($C33*st_DL)/st_out!D33),0)</f>
        <v>56308.59276502487</v>
      </c>
      <c r="F33" s="61">
        <f>IFERROR((($C33*st_DL)/st_out!E33),0)</f>
        <v>609.34390048706246</v>
      </c>
      <c r="G33" s="61">
        <f>IFERROR((($C33*st_DL)/st_out!F33),0)</f>
        <v>3.1364328348574166E-2</v>
      </c>
      <c r="H33" s="61">
        <f>IFERROR((($C33*st_DL)/st_out!G33),0)</f>
        <v>674.27763396834359</v>
      </c>
      <c r="I33" s="61">
        <f>IFERROR((($C33*st_DL)/st_out!H33),0)</f>
        <v>56373.526498506144</v>
      </c>
    </row>
    <row r="34" spans="1:9">
      <c r="A34" s="65" t="s">
        <v>392</v>
      </c>
      <c r="B34" s="89">
        <v>1</v>
      </c>
      <c r="C34" s="58">
        <v>5</v>
      </c>
      <c r="D34" s="61">
        <f>IFERROR((($C34*st_DL)/st_out!C34),0)</f>
        <v>0.58594101496946605</v>
      </c>
      <c r="E34" s="61">
        <f>IFERROR((($C34*st_DL)/st_out!D34),0)</f>
        <v>20.378347857818525</v>
      </c>
      <c r="F34" s="61">
        <f>IFERROR((($C34*st_DL)/st_out!E34),0)</f>
        <v>0.22052445922388927</v>
      </c>
      <c r="G34" s="61">
        <f>IFERROR((($C34*st_DL)/st_out!F34),0)</f>
        <v>0.24452994177222728</v>
      </c>
      <c r="H34" s="61">
        <f>IFERROR((($C34*st_DL)/st_out!G34),0)</f>
        <v>1.0509954159655828</v>
      </c>
      <c r="I34" s="61">
        <f>IFERROR((($C34*st_DL)/st_out!H34),0)</f>
        <v>21.208818814560217</v>
      </c>
    </row>
    <row r="35" spans="1:9">
      <c r="A35" s="65" t="s">
        <v>393</v>
      </c>
      <c r="B35" s="89">
        <v>1</v>
      </c>
      <c r="C35" s="58">
        <v>5</v>
      </c>
      <c r="D35" s="61">
        <f>IFERROR((($C35*st_DL)/st_out!C35),0)</f>
        <v>31.056086921777084</v>
      </c>
      <c r="E35" s="61">
        <f>IFERROR((($C35*st_DL)/st_out!D35),0)</f>
        <v>46030.040117440956</v>
      </c>
      <c r="F35" s="61">
        <f>IFERROR((($C35*st_DL)/st_out!E35),0)</f>
        <v>498.11445833466217</v>
      </c>
      <c r="G35" s="61">
        <f>IFERROR((($C35*st_DL)/st_out!F35),0)</f>
        <v>6.1823504461678874E-4</v>
      </c>
      <c r="H35" s="61">
        <f>IFERROR((($C35*st_DL)/st_out!G35),0)</f>
        <v>529.17116349148387</v>
      </c>
      <c r="I35" s="61">
        <f>IFERROR((($C35*st_DL)/st_out!H35),0)</f>
        <v>46061.096822597778</v>
      </c>
    </row>
    <row r="36" spans="1:9">
      <c r="A36" s="65" t="s">
        <v>394</v>
      </c>
      <c r="B36" s="89">
        <v>1</v>
      </c>
      <c r="C36" s="58">
        <v>5</v>
      </c>
      <c r="D36" s="61">
        <f>IFERROR((($C36*st_DL)/st_out!C36),0)</f>
        <v>302.67553464778831</v>
      </c>
      <c r="E36" s="61">
        <f>IFERROR((($C36*st_DL)/st_out!D36),0)</f>
        <v>337404.66299677594</v>
      </c>
      <c r="F36" s="61">
        <f>IFERROR((($C36*st_DL)/st_out!E36),0)</f>
        <v>3651.2273402200967</v>
      </c>
      <c r="G36" s="61">
        <f>IFERROR((($C36*st_DL)/st_out!F36),0)</f>
        <v>9.8180280921932428E-2</v>
      </c>
      <c r="H36" s="61">
        <f>IFERROR((($C36*st_DL)/st_out!G36),0)</f>
        <v>3954.0010551488072</v>
      </c>
      <c r="I36" s="61">
        <f>IFERROR((($C36*st_DL)/st_out!H36),0)</f>
        <v>337707.43671170471</v>
      </c>
    </row>
    <row r="37" spans="1:9">
      <c r="A37" s="65" t="s">
        <v>395</v>
      </c>
      <c r="B37" s="89">
        <v>1</v>
      </c>
      <c r="C37" s="58">
        <v>5</v>
      </c>
      <c r="D37" s="61">
        <f>IFERROR((($C37*st_DL)/st_out!C37),0)</f>
        <v>60.413794090019479</v>
      </c>
      <c r="E37" s="61">
        <f>IFERROR((($C37*st_DL)/st_out!D37),0)</f>
        <v>37583.751202687228</v>
      </c>
      <c r="F37" s="61">
        <f>IFERROR((($C37*st_DL)/st_out!E37),0)</f>
        <v>406.71287326160274</v>
      </c>
      <c r="G37" s="61">
        <f>IFERROR((($C37*st_DL)/st_out!F37),0)</f>
        <v>1.4108109122313667E-2</v>
      </c>
      <c r="H37" s="61">
        <f>IFERROR((($C37*st_DL)/st_out!G37),0)</f>
        <v>467.14077546074452</v>
      </c>
      <c r="I37" s="61">
        <f>IFERROR((($C37*st_DL)/st_out!H37),0)</f>
        <v>37644.179104886367</v>
      </c>
    </row>
    <row r="38" spans="1:9">
      <c r="A38" s="65" t="s">
        <v>396</v>
      </c>
      <c r="B38" s="89">
        <v>1</v>
      </c>
      <c r="C38" s="58">
        <v>5</v>
      </c>
      <c r="D38" s="61">
        <f>IFERROR((($C38*st_DL)/st_out!C38),0)</f>
        <v>23.413378030871002</v>
      </c>
      <c r="E38" s="61">
        <f>IFERROR((($C38*st_DL)/st_out!D38),0)</f>
        <v>41024.831871660972</v>
      </c>
      <c r="F38" s="61">
        <f>IFERROR((($C38*st_DL)/st_out!E38),0)</f>
        <v>443.95055606914565</v>
      </c>
      <c r="G38" s="61">
        <f>IFERROR((($C38*st_DL)/st_out!F38),0)</f>
        <v>1.6821323994377871E-2</v>
      </c>
      <c r="H38" s="61">
        <f>IFERROR((($C38*st_DL)/st_out!G38),0)</f>
        <v>467.380755424011</v>
      </c>
      <c r="I38" s="61">
        <f>IFERROR((($C38*st_DL)/st_out!H38),0)</f>
        <v>41048.262071015837</v>
      </c>
    </row>
    <row r="39" spans="1:9">
      <c r="A39" s="65" t="s">
        <v>397</v>
      </c>
      <c r="B39" s="89">
        <v>1</v>
      </c>
      <c r="C39" s="58">
        <v>5</v>
      </c>
      <c r="D39" s="61">
        <f>IFERROR((($C39*st_DL)/st_out!C39),0)</f>
        <v>0</v>
      </c>
      <c r="E39" s="61">
        <f>IFERROR((($C39*st_DL)/st_out!D39),0)</f>
        <v>0</v>
      </c>
      <c r="F39" s="61">
        <f>IFERROR((($C39*st_DL)/st_out!E39),0)</f>
        <v>0</v>
      </c>
      <c r="G39" s="61">
        <f>IFERROR((($C39*st_DL)/st_out!F39),0)</f>
        <v>3.2406328486550458E-2</v>
      </c>
      <c r="H39" s="61">
        <f>IFERROR((($C39*st_DL)/st_out!G39),0)</f>
        <v>3.2406328486550451E-2</v>
      </c>
      <c r="I39" s="61">
        <f>IFERROR((($C39*st_DL)/st_out!H39),0)</f>
        <v>3.2406328486550451E-2</v>
      </c>
    </row>
    <row r="40" spans="1:9">
      <c r="A40" s="65" t="s">
        <v>398</v>
      </c>
      <c r="B40" s="89">
        <v>1</v>
      </c>
      <c r="C40" s="58">
        <v>5</v>
      </c>
      <c r="D40" s="61">
        <f>IFERROR((($C40*st_DL)/st_out!C40),0)</f>
        <v>0</v>
      </c>
      <c r="E40" s="61">
        <f>IFERROR((($C40*st_DL)/st_out!D40),0)</f>
        <v>0</v>
      </c>
      <c r="F40" s="61">
        <f>IFERROR((($C40*st_DL)/st_out!E40),0)</f>
        <v>0</v>
      </c>
      <c r="G40" s="61">
        <f>IFERROR((($C40*st_DL)/st_out!F40),0)</f>
        <v>2.6953446331954791E-4</v>
      </c>
      <c r="H40" s="61">
        <f>IFERROR((($C40*st_DL)/st_out!G40),0)</f>
        <v>2.6953446331954791E-4</v>
      </c>
      <c r="I40" s="61">
        <f>IFERROR((($C40*st_DL)/st_out!H40),0)</f>
        <v>2.6953446331954791E-4</v>
      </c>
    </row>
    <row r="41" spans="1:9">
      <c r="A41" s="65" t="s">
        <v>399</v>
      </c>
      <c r="B41" s="90">
        <v>0.99987999999999999</v>
      </c>
      <c r="C41" s="58">
        <v>5</v>
      </c>
      <c r="D41" s="61">
        <f>IFERROR((($C41*st_DL)/st_out!C41),0)</f>
        <v>0.12008529917747267</v>
      </c>
      <c r="E41" s="61">
        <f>IFERROR((($C41*st_DL)/st_out!D41),0)</f>
        <v>158.62818798041297</v>
      </c>
      <c r="F41" s="61">
        <f>IFERROR((($C41*st_DL)/st_out!E41),0)</f>
        <v>1.71659624303767</v>
      </c>
      <c r="G41" s="61">
        <f>IFERROR((($C41*st_DL)/st_out!F41),0)</f>
        <v>0.18889279070715559</v>
      </c>
      <c r="H41" s="61">
        <f>IFERROR((($C41*st_DL)/st_out!G41),0)</f>
        <v>2.0255743329222984</v>
      </c>
      <c r="I41" s="61">
        <f>IFERROR((($C41*st_DL)/st_out!H41),0)</f>
        <v>158.93716607029759</v>
      </c>
    </row>
    <row r="42" spans="1:9">
      <c r="A42" s="65" t="s">
        <v>400</v>
      </c>
      <c r="B42" s="89">
        <v>0.97898250799999997</v>
      </c>
      <c r="C42" s="58">
        <v>5</v>
      </c>
      <c r="D42" s="61">
        <f>IFERROR((($C42*st_DL)/st_out!C42),0)</f>
        <v>0</v>
      </c>
      <c r="E42" s="61">
        <f>IFERROR((($C42*st_DL)/st_out!D42),0)</f>
        <v>0</v>
      </c>
      <c r="F42" s="61">
        <f>IFERROR((($C42*st_DL)/st_out!E42),0)</f>
        <v>0</v>
      </c>
      <c r="G42" s="61">
        <f>IFERROR((($C42*st_DL)/st_out!F42),0)</f>
        <v>3.994196097519291E-5</v>
      </c>
      <c r="H42" s="61">
        <f>IFERROR((($C42*st_DL)/st_out!G42),0)</f>
        <v>3.994196097519291E-5</v>
      </c>
      <c r="I42" s="61">
        <f>IFERROR((($C42*st_DL)/st_out!H42),0)</f>
        <v>3.994196097519291E-5</v>
      </c>
    </row>
    <row r="43" spans="1:9">
      <c r="A43" s="65" t="s">
        <v>401</v>
      </c>
      <c r="B43" s="89">
        <v>2.0897492E-2</v>
      </c>
      <c r="C43" s="58">
        <v>5</v>
      </c>
      <c r="D43" s="61">
        <f>IFERROR((($C43*st_DL)/st_out!C43),0)</f>
        <v>0</v>
      </c>
      <c r="E43" s="61">
        <f>IFERROR((($C43*st_DL)/st_out!D43),0)</f>
        <v>0</v>
      </c>
      <c r="F43" s="61">
        <f>IFERROR((($C43*st_DL)/st_out!E43),0)</f>
        <v>0</v>
      </c>
      <c r="G43" s="61">
        <f>IFERROR((($C43*st_DL)/st_out!F43),0)</f>
        <v>4.7576899068992332E-2</v>
      </c>
      <c r="H43" s="61">
        <f>IFERROR((($C43*st_DL)/st_out!G43),0)</f>
        <v>4.7576899068992332E-2</v>
      </c>
      <c r="I43" s="61">
        <f>IFERROR((($C43*st_DL)/st_out!H43),0)</f>
        <v>4.7576899068992332E-2</v>
      </c>
    </row>
    <row r="44" spans="1:9">
      <c r="A44" s="65" t="s">
        <v>402</v>
      </c>
      <c r="B44" s="89">
        <v>0.99987999999999999</v>
      </c>
      <c r="C44" s="58">
        <v>5</v>
      </c>
      <c r="D44" s="61">
        <f>IFERROR((($C44*st_DL)/st_out!C44),0)</f>
        <v>3.4388062946276256E-2</v>
      </c>
      <c r="E44" s="61">
        <f>IFERROR((($C44*st_DL)/st_out!D44),0)</f>
        <v>0.31189429636712185</v>
      </c>
      <c r="F44" s="61">
        <f>IFERROR((($C44*st_DL)/st_out!E44),0)</f>
        <v>3.3751666975782918E-3</v>
      </c>
      <c r="G44" s="61">
        <f>IFERROR((($C44*st_DL)/st_out!F44),0)</f>
        <v>3.7284449973891362E-3</v>
      </c>
      <c r="H44" s="61">
        <f>IFERROR((($C44*st_DL)/st_out!G44),0)</f>
        <v>4.1491674641243689E-2</v>
      </c>
      <c r="I44" s="61">
        <f>IFERROR((($C44*st_DL)/st_out!H44),0)</f>
        <v>0.35001080431078724</v>
      </c>
    </row>
    <row r="45" spans="1:9">
      <c r="A45" s="63" t="s">
        <v>15</v>
      </c>
      <c r="B45" s="82" t="s">
        <v>6</v>
      </c>
      <c r="C45" s="58">
        <v>5</v>
      </c>
      <c r="D45" s="64">
        <f>SUM(D46:D47)</f>
        <v>8.2492730885970378</v>
      </c>
      <c r="E45" s="64">
        <f t="shared" ref="E45:I45" si="1">SUM(E46:E47)</f>
        <v>186.35462843662989</v>
      </c>
      <c r="F45" s="64">
        <f t="shared" si="1"/>
        <v>2.0166381468500401</v>
      </c>
      <c r="G45" s="64">
        <f t="shared" si="1"/>
        <v>0.63072941846671593</v>
      </c>
      <c r="H45" s="64">
        <f t="shared" si="1"/>
        <v>10.896640653913792</v>
      </c>
      <c r="I45" s="64">
        <f t="shared" si="1"/>
        <v>195.23463094369367</v>
      </c>
    </row>
    <row r="46" spans="1:9">
      <c r="A46" s="65" t="s">
        <v>403</v>
      </c>
      <c r="B46" s="89">
        <v>1</v>
      </c>
      <c r="C46" s="58">
        <v>5</v>
      </c>
      <c r="D46" s="61">
        <f>IFERROR((($C46*st_DL)/st_out!C46),0)</f>
        <v>8.2492730885970378</v>
      </c>
      <c r="E46" s="61">
        <f>IFERROR((($C46*st_DL)/st_out!D46),0)</f>
        <v>186.35462843662989</v>
      </c>
      <c r="F46" s="61">
        <f>IFERROR((($C46*st_DL)/st_out!E46),0)</f>
        <v>2.0166381468500401</v>
      </c>
      <c r="G46" s="61">
        <f>IFERROR((($C46*st_DL)/st_out!F46),0)</f>
        <v>3.6799499852966538E-3</v>
      </c>
      <c r="H46" s="61">
        <f>IFERROR((($C46*st_DL)/st_out!G46),0)</f>
        <v>10.269591185432374</v>
      </c>
      <c r="I46" s="61">
        <f>IFERROR((($C46*st_DL)/st_out!H46),0)</f>
        <v>194.60758147521224</v>
      </c>
    </row>
    <row r="47" spans="1:9">
      <c r="A47" s="65" t="s">
        <v>404</v>
      </c>
      <c r="B47" s="89">
        <v>0.94399</v>
      </c>
      <c r="C47" s="58">
        <v>5</v>
      </c>
      <c r="D47" s="61">
        <f>IFERROR((($C47*st_DL)/st_out!C47),0)</f>
        <v>0</v>
      </c>
      <c r="E47" s="61">
        <f>IFERROR((($C47*st_DL)/st_out!D47),0)</f>
        <v>0</v>
      </c>
      <c r="F47" s="61">
        <f>IFERROR((($C47*st_DL)/st_out!E47),0)</f>
        <v>0</v>
      </c>
      <c r="G47" s="61">
        <f>IFERROR((($C47*st_DL)/st_out!F47),0)</f>
        <v>0.62704946848141929</v>
      </c>
      <c r="H47" s="61">
        <f>IFERROR((($C47*st_DL)/st_out!G47),0)</f>
        <v>0.62704946848141929</v>
      </c>
      <c r="I47" s="61">
        <f>IFERROR((($C47*st_DL)/st_out!H47),0)</f>
        <v>0.62704946848141929</v>
      </c>
    </row>
    <row r="48" spans="1:9">
      <c r="A48" s="63" t="s">
        <v>28</v>
      </c>
      <c r="B48" s="82" t="s">
        <v>6</v>
      </c>
      <c r="C48" s="58">
        <v>5</v>
      </c>
      <c r="D48" s="64">
        <f>SUM(D49:D62)</f>
        <v>1326.8961659889594</v>
      </c>
      <c r="E48" s="64">
        <f t="shared" ref="E48:I48" si="2">SUM(E49:E62)</f>
        <v>94662.402832596985</v>
      </c>
      <c r="F48" s="64">
        <f t="shared" si="2"/>
        <v>1024.3899720989009</v>
      </c>
      <c r="G48" s="64">
        <f t="shared" si="2"/>
        <v>1.9349401389539718</v>
      </c>
      <c r="H48" s="64">
        <f t="shared" si="2"/>
        <v>2353.2210782268148</v>
      </c>
      <c r="I48" s="64">
        <f t="shared" si="2"/>
        <v>95991.233938724894</v>
      </c>
    </row>
    <row r="49" spans="1:9">
      <c r="A49" s="65" t="s">
        <v>405</v>
      </c>
      <c r="B49" s="89">
        <v>1</v>
      </c>
      <c r="C49" s="58">
        <v>5</v>
      </c>
      <c r="D49" s="61">
        <f>IFERROR((($C49*st_DL)/st_out!C49),0)</f>
        <v>169.83797535346841</v>
      </c>
      <c r="E49" s="61">
        <f>IFERROR((($C49*st_DL)/st_out!D49),0)</f>
        <v>46030.040117440956</v>
      </c>
      <c r="F49" s="61">
        <f>IFERROR((($C49*st_DL)/st_out!E49),0)</f>
        <v>498.11445833466217</v>
      </c>
      <c r="G49" s="61">
        <f>IFERROR((($C49*st_DL)/st_out!F49),0)</f>
        <v>8.0507691743912316E-3</v>
      </c>
      <c r="H49" s="61">
        <f>IFERROR((($C49*st_DL)/st_out!G49),0)</f>
        <v>667.96048445730503</v>
      </c>
      <c r="I49" s="61">
        <f>IFERROR((($C49*st_DL)/st_out!H49),0)</f>
        <v>46199.886143563599</v>
      </c>
    </row>
    <row r="50" spans="1:9">
      <c r="A50" s="65" t="s">
        <v>406</v>
      </c>
      <c r="B50" s="89">
        <v>1</v>
      </c>
      <c r="C50" s="58">
        <v>5</v>
      </c>
      <c r="D50" s="61">
        <f>IFERROR((($C50*st_DL)/st_out!C50),0)</f>
        <v>0</v>
      </c>
      <c r="E50" s="61">
        <f>IFERROR((($C50*st_DL)/st_out!D50),0)</f>
        <v>7.9112244232285045</v>
      </c>
      <c r="F50" s="61">
        <f>IFERROR((($C50*st_DL)/st_out!E50),0)</f>
        <v>8.5611380270061335E-2</v>
      </c>
      <c r="G50" s="61">
        <f>IFERROR((($C50*st_DL)/st_out!F50),0)</f>
        <v>4.2580163852730271E-4</v>
      </c>
      <c r="H50" s="61">
        <f>IFERROR((($C50*st_DL)/st_out!G50),0)</f>
        <v>8.6037181908588625E-2</v>
      </c>
      <c r="I50" s="61">
        <f>IFERROR((($C50*st_DL)/st_out!H50),0)</f>
        <v>7.9116502248670324</v>
      </c>
    </row>
    <row r="51" spans="1:9">
      <c r="A51" s="65" t="s">
        <v>407</v>
      </c>
      <c r="B51" s="89">
        <v>1</v>
      </c>
      <c r="C51" s="58">
        <v>5</v>
      </c>
      <c r="D51" s="61">
        <f>IFERROR((($C51*st_DL)/st_out!C51),0)</f>
        <v>0</v>
      </c>
      <c r="E51" s="61">
        <f>IFERROR((($C51*st_DL)/st_out!D51),0)</f>
        <v>9.2035923824429293</v>
      </c>
      <c r="F51" s="61">
        <f>IFERROR((($C51*st_DL)/st_out!E51),0)</f>
        <v>9.959675078746065E-2</v>
      </c>
      <c r="G51" s="61">
        <f>IFERROR((($C51*st_DL)/st_out!F51),0)</f>
        <v>7.7733965168728568E-9</v>
      </c>
      <c r="H51" s="61">
        <f>IFERROR((($C51*st_DL)/st_out!G51),0)</f>
        <v>9.959675856085716E-2</v>
      </c>
      <c r="I51" s="61">
        <f>IFERROR((($C51*st_DL)/st_out!H51),0)</f>
        <v>9.2035923902163272</v>
      </c>
    </row>
    <row r="52" spans="1:9">
      <c r="A52" s="65" t="s">
        <v>408</v>
      </c>
      <c r="B52" s="89">
        <v>0.99980000000000002</v>
      </c>
      <c r="C52" s="58">
        <v>5</v>
      </c>
      <c r="D52" s="61">
        <f>IFERROR((($C52*st_DL)/st_out!C52),0)</f>
        <v>8.4295560994347443E-2</v>
      </c>
      <c r="E52" s="61">
        <f>IFERROR((($C52*st_DL)/st_out!D52),0)</f>
        <v>56.27317946730134</v>
      </c>
      <c r="F52" s="61">
        <f>IFERROR((($C52*st_DL)/st_out!E52),0)</f>
        <v>0.60896067519400621</v>
      </c>
      <c r="G52" s="61">
        <f>IFERROR((($C52*st_DL)/st_out!F52),0)</f>
        <v>0.2845254422835799</v>
      </c>
      <c r="H52" s="61">
        <f>IFERROR((($C52*st_DL)/st_out!G52),0)</f>
        <v>0.97778167847193342</v>
      </c>
      <c r="I52" s="61">
        <f>IFERROR((($C52*st_DL)/st_out!H52),0)</f>
        <v>56.642000470579262</v>
      </c>
    </row>
    <row r="53" spans="1:9">
      <c r="A53" s="65" t="s">
        <v>409</v>
      </c>
      <c r="B53" s="89">
        <v>2.0000000000000001E-4</v>
      </c>
      <c r="C53" s="58">
        <v>5</v>
      </c>
      <c r="D53" s="61">
        <f>IFERROR((($C53*st_DL)/st_out!C53),0)</f>
        <v>0</v>
      </c>
      <c r="E53" s="61">
        <f>IFERROR((($C53*st_DL)/st_out!D53),0)</f>
        <v>0</v>
      </c>
      <c r="F53" s="61">
        <f>IFERROR((($C53*st_DL)/st_out!E53),0)</f>
        <v>0</v>
      </c>
      <c r="G53" s="61">
        <f>IFERROR((($C53*st_DL)/st_out!F53),0)</f>
        <v>2.9223295176213751E-8</v>
      </c>
      <c r="H53" s="61">
        <f>IFERROR((($C53*st_DL)/st_out!G53),0)</f>
        <v>2.9223295176213754E-8</v>
      </c>
      <c r="I53" s="61">
        <f>IFERROR((($C53*st_DL)/st_out!H53),0)</f>
        <v>2.9223295176213754E-8</v>
      </c>
    </row>
    <row r="54" spans="1:9">
      <c r="A54" s="65" t="s">
        <v>410</v>
      </c>
      <c r="B54" s="89">
        <v>0.99999979999999999</v>
      </c>
      <c r="C54" s="58">
        <v>5</v>
      </c>
      <c r="D54" s="61">
        <f>IFERROR((($C54*st_DL)/st_out!C54),0)</f>
        <v>6.793517655434933E-2</v>
      </c>
      <c r="E54" s="61">
        <f>IFERROR((($C54*st_DL)/st_out!D54),0)</f>
        <v>44.20622228702296</v>
      </c>
      <c r="F54" s="61">
        <f>IFERROR((($C54*st_DL)/st_out!E54),0)</f>
        <v>0.47837799865785363</v>
      </c>
      <c r="G54" s="61">
        <f>IFERROR((($C54*st_DL)/st_out!F54),0)</f>
        <v>1.5969062495432764</v>
      </c>
      <c r="H54" s="61">
        <f>IFERROR((($C54*st_DL)/st_out!G54),0)</f>
        <v>2.143219424755479</v>
      </c>
      <c r="I54" s="61">
        <f>IFERROR((($C54*st_DL)/st_out!H54),0)</f>
        <v>45.871063713120591</v>
      </c>
    </row>
    <row r="55" spans="1:9">
      <c r="A55" s="65" t="s">
        <v>411</v>
      </c>
      <c r="B55" s="89">
        <v>1.9999999999999999E-7</v>
      </c>
      <c r="C55" s="58">
        <v>5</v>
      </c>
      <c r="D55" s="61">
        <f>IFERROR((($C55*st_DL)/st_out!C55),0)</f>
        <v>0</v>
      </c>
      <c r="E55" s="61">
        <f>IFERROR((($C55*st_DL)/st_out!D55),0)</f>
        <v>0</v>
      </c>
      <c r="F55" s="61">
        <f>IFERROR((($C55*st_DL)/st_out!E55),0)</f>
        <v>0</v>
      </c>
      <c r="G55" s="61">
        <f>IFERROR((($C55*st_DL)/st_out!F55),0)</f>
        <v>1.6664265536208306E-10</v>
      </c>
      <c r="H55" s="61">
        <f>IFERROR((($C55*st_DL)/st_out!G55),0)</f>
        <v>1.6664265536208306E-10</v>
      </c>
      <c r="I55" s="61">
        <f>IFERROR((($C55*st_DL)/st_out!H55),0)</f>
        <v>1.6664265536208306E-10</v>
      </c>
    </row>
    <row r="56" spans="1:9">
      <c r="A56" s="65" t="s">
        <v>412</v>
      </c>
      <c r="B56" s="89">
        <v>0.99979000004200003</v>
      </c>
      <c r="C56" s="58">
        <v>5</v>
      </c>
      <c r="D56" s="61">
        <f>IFERROR((($C56*st_DL)/st_out!C56),0)</f>
        <v>0</v>
      </c>
      <c r="E56" s="61">
        <f>IFERROR((($C56*st_DL)/st_out!D56),0)</f>
        <v>0</v>
      </c>
      <c r="F56" s="61">
        <f>IFERROR((($C56*st_DL)/st_out!E56),0)</f>
        <v>0</v>
      </c>
      <c r="G56" s="61">
        <f>IFERROR((($C56*st_DL)/st_out!F56),0)</f>
        <v>8.9850765107763782E-5</v>
      </c>
      <c r="H56" s="61">
        <f>IFERROR((($C56*st_DL)/st_out!G56),0)</f>
        <v>8.9850765107763782E-5</v>
      </c>
      <c r="I56" s="61">
        <f>IFERROR((($C56*st_DL)/st_out!H56),0)</f>
        <v>8.9850765107763782E-5</v>
      </c>
    </row>
    <row r="57" spans="1:9">
      <c r="A57" s="65" t="s">
        <v>413</v>
      </c>
      <c r="B57" s="89">
        <v>2.0999995799999999E-4</v>
      </c>
      <c r="C57" s="58">
        <v>5</v>
      </c>
      <c r="D57" s="61">
        <f>IFERROR((($C57*st_DL)/st_out!C57),0)</f>
        <v>0</v>
      </c>
      <c r="E57" s="61">
        <f>IFERROR((($C57*st_DL)/st_out!D57),0)</f>
        <v>0</v>
      </c>
      <c r="F57" s="61">
        <f>IFERROR((($C57*st_DL)/st_out!E57),0)</f>
        <v>0</v>
      </c>
      <c r="G57" s="61">
        <f>IFERROR((($C57*st_DL)/st_out!F57),0)</f>
        <v>6.2862542384322132E-4</v>
      </c>
      <c r="H57" s="61">
        <f>IFERROR((($C57*st_DL)/st_out!G57),0)</f>
        <v>6.2862542384322132E-4</v>
      </c>
      <c r="I57" s="61">
        <f>IFERROR((($C57*st_DL)/st_out!H57),0)</f>
        <v>6.2862542384322132E-4</v>
      </c>
    </row>
    <row r="58" spans="1:9">
      <c r="A58" s="65" t="s">
        <v>414</v>
      </c>
      <c r="B58" s="89">
        <v>1</v>
      </c>
      <c r="C58" s="58">
        <v>5</v>
      </c>
      <c r="D58" s="61">
        <f>IFERROR((($C58*st_DL)/st_out!C58),0)</f>
        <v>422.16868159290721</v>
      </c>
      <c r="E58" s="61">
        <f>IFERROR((($C58*st_DL)/st_out!D58),0)</f>
        <v>26947.68368040476</v>
      </c>
      <c r="F58" s="61">
        <f>IFERROR((($C58*st_DL)/st_out!E58),0)</f>
        <v>291.61458094737992</v>
      </c>
      <c r="G58" s="61">
        <f>IFERROR((($C58*st_DL)/st_out!F58),0)</f>
        <v>2.8184244681059472E-3</v>
      </c>
      <c r="H58" s="61">
        <f>IFERROR((($C58*st_DL)/st_out!G58),0)</f>
        <v>713.78608096475523</v>
      </c>
      <c r="I58" s="61">
        <f>IFERROR((($C58*st_DL)/st_out!H58),0)</f>
        <v>27369.855180422135</v>
      </c>
    </row>
    <row r="59" spans="1:9">
      <c r="A59" s="65" t="s">
        <v>415</v>
      </c>
      <c r="B59" s="89">
        <v>1</v>
      </c>
      <c r="C59" s="58">
        <v>5</v>
      </c>
      <c r="D59" s="61">
        <f>IFERROR((($C59*st_DL)/st_out!C59),0)</f>
        <v>0.79459909897515579</v>
      </c>
      <c r="E59" s="61">
        <f>IFERROR((($C59*st_DL)/st_out!D59),0)</f>
        <v>652.46464632489131</v>
      </c>
      <c r="F59" s="61">
        <f>IFERROR((($C59*st_DL)/st_out!E59),0)</f>
        <v>7.060651545326281</v>
      </c>
      <c r="G59" s="61">
        <f>IFERROR((($C59*st_DL)/st_out!F59),0)</f>
        <v>4.1484280626788703E-2</v>
      </c>
      <c r="H59" s="61">
        <f>IFERROR((($C59*st_DL)/st_out!G59),0)</f>
        <v>7.8967349249282259</v>
      </c>
      <c r="I59" s="61">
        <f>IFERROR((($C59*st_DL)/st_out!H59),0)</f>
        <v>653.30072970449328</v>
      </c>
    </row>
    <row r="60" spans="1:9">
      <c r="A60" s="65" t="s">
        <v>416</v>
      </c>
      <c r="B60" s="91">
        <v>1.9000000000000001E-8</v>
      </c>
      <c r="C60" s="58">
        <v>5</v>
      </c>
      <c r="D60" s="61">
        <f>IFERROR((($C60*st_DL)/st_out!C60),0)</f>
        <v>0</v>
      </c>
      <c r="E60" s="61">
        <f>IFERROR((($C60*st_DL)/st_out!D60),0)</f>
        <v>0</v>
      </c>
      <c r="F60" s="61">
        <f>IFERROR((($C60*st_DL)/st_out!E60),0)</f>
        <v>0</v>
      </c>
      <c r="G60" s="61">
        <f>IFERROR((($C60*st_DL)/st_out!F60),0)</f>
        <v>3.3160133198766416E-9</v>
      </c>
      <c r="H60" s="61">
        <f>IFERROR((($C60*st_DL)/st_out!G60),0)</f>
        <v>3.3160133198766416E-9</v>
      </c>
      <c r="I60" s="61">
        <f>IFERROR((($C60*st_DL)/st_out!H60),0)</f>
        <v>3.3160133198766416E-9</v>
      </c>
    </row>
    <row r="61" spans="1:9">
      <c r="A61" s="65" t="s">
        <v>417</v>
      </c>
      <c r="B61" s="89">
        <v>1</v>
      </c>
      <c r="C61" s="58">
        <v>5</v>
      </c>
      <c r="D61" s="61">
        <f>IFERROR((($C61*st_DL)/st_out!C61),0)</f>
        <v>733.94267920605989</v>
      </c>
      <c r="E61" s="61">
        <f>IFERROR((($C61*st_DL)/st_out!D61),0)</f>
        <v>20914.620169866383</v>
      </c>
      <c r="F61" s="61">
        <f>IFERROR((($C61*st_DL)/st_out!E61),0)</f>
        <v>226.32773446662324</v>
      </c>
      <c r="G61" s="61">
        <f>IFERROR((($C61*st_DL)/st_out!F61),0)</f>
        <v>1.0554287487219529E-5</v>
      </c>
      <c r="H61" s="61">
        <f>IFERROR((($C61*st_DL)/st_out!G61),0)</f>
        <v>960.27042422697059</v>
      </c>
      <c r="I61" s="61">
        <f>IFERROR((($C61*st_DL)/st_out!H61),0)</f>
        <v>21648.562859626731</v>
      </c>
    </row>
    <row r="62" spans="1:9">
      <c r="A62" s="65" t="s">
        <v>418</v>
      </c>
      <c r="B62" s="89">
        <v>1.339E-6</v>
      </c>
      <c r="C62" s="58">
        <v>5</v>
      </c>
      <c r="D62" s="61">
        <f>IFERROR((($C62*st_DL)/st_out!C62),0)</f>
        <v>0</v>
      </c>
      <c r="E62" s="61">
        <f>IFERROR((($C62*st_DL)/st_out!D62),0)</f>
        <v>0</v>
      </c>
      <c r="F62" s="61">
        <f>IFERROR((($C62*st_DL)/st_out!E62),0)</f>
        <v>0</v>
      </c>
      <c r="G62" s="61">
        <f>IFERROR((($C62*st_DL)/st_out!F62),0)</f>
        <v>1.0026351635072455E-7</v>
      </c>
      <c r="H62" s="61">
        <f>IFERROR((($C62*st_DL)/st_out!G62),0)</f>
        <v>1.0026351635072455E-7</v>
      </c>
      <c r="I62" s="61">
        <f>IFERROR((($C62*st_DL)/st_out!H62),0)</f>
        <v>1.0026351635072455E-7</v>
      </c>
    </row>
    <row r="63" spans="1:9">
      <c r="A63" s="63" t="s">
        <v>30</v>
      </c>
      <c r="B63" s="82" t="s">
        <v>6</v>
      </c>
      <c r="C63" s="58">
        <v>5</v>
      </c>
      <c r="D63" s="64">
        <f>SUM(D64:D76)</f>
        <v>1157.058190635491</v>
      </c>
      <c r="E63" s="64">
        <f t="shared" ref="E63:I63" si="3">SUM(E64:E76)</f>
        <v>48632.362715156029</v>
      </c>
      <c r="F63" s="64">
        <f t="shared" si="3"/>
        <v>526.27551376423878</v>
      </c>
      <c r="G63" s="64">
        <f t="shared" si="3"/>
        <v>1.9268893697795806</v>
      </c>
      <c r="H63" s="64">
        <f t="shared" si="3"/>
        <v>1685.2605937695093</v>
      </c>
      <c r="I63" s="64">
        <f t="shared" si="3"/>
        <v>49791.347795161302</v>
      </c>
    </row>
    <row r="64" spans="1:9">
      <c r="A64" s="65" t="s">
        <v>406</v>
      </c>
      <c r="B64" s="89">
        <v>1</v>
      </c>
      <c r="C64" s="58">
        <v>5</v>
      </c>
      <c r="D64" s="61">
        <f>IFERROR((($C64*st_DL)/st_out!C64),0)</f>
        <v>0</v>
      </c>
      <c r="E64" s="61">
        <f>IFERROR((($C64*st_DL)/st_out!D64),0)</f>
        <v>7.9112244232285045</v>
      </c>
      <c r="F64" s="61">
        <f>IFERROR((($C64*st_DL)/st_out!E64),0)</f>
        <v>8.5611380270061335E-2</v>
      </c>
      <c r="G64" s="61">
        <f>IFERROR((($C64*st_DL)/st_out!F64),0)</f>
        <v>4.2580163852730271E-4</v>
      </c>
      <c r="H64" s="61">
        <f>IFERROR((($C64*st_DL)/st_out!G64),0)</f>
        <v>8.6037181908588625E-2</v>
      </c>
      <c r="I64" s="61">
        <f>IFERROR((($C64*st_DL)/st_out!H64),0)</f>
        <v>7.9116502248670324</v>
      </c>
    </row>
    <row r="65" spans="1:9">
      <c r="A65" s="65" t="s">
        <v>407</v>
      </c>
      <c r="B65" s="89">
        <v>1</v>
      </c>
      <c r="C65" s="58">
        <v>5</v>
      </c>
      <c r="D65" s="61">
        <f>IFERROR((($C65*st_DL)/st_out!C65),0)</f>
        <v>0</v>
      </c>
      <c r="E65" s="61">
        <f>IFERROR((($C65*st_DL)/st_out!D65),0)</f>
        <v>9.2035923824429293</v>
      </c>
      <c r="F65" s="61">
        <f>IFERROR((($C65*st_DL)/st_out!E65),0)</f>
        <v>9.959675078746065E-2</v>
      </c>
      <c r="G65" s="61">
        <f>IFERROR((($C65*st_DL)/st_out!F65),0)</f>
        <v>7.7733965168728568E-9</v>
      </c>
      <c r="H65" s="61">
        <f>IFERROR((($C65*st_DL)/st_out!G65),0)</f>
        <v>9.959675856085716E-2</v>
      </c>
      <c r="I65" s="61">
        <f>IFERROR((($C65*st_DL)/st_out!H65),0)</f>
        <v>9.2035923902163272</v>
      </c>
    </row>
    <row r="66" spans="1:9">
      <c r="A66" s="65" t="s">
        <v>408</v>
      </c>
      <c r="B66" s="89">
        <v>0.99980000000000002</v>
      </c>
      <c r="C66" s="58">
        <v>5</v>
      </c>
      <c r="D66" s="61">
        <f>IFERROR((($C66*st_DL)/st_out!C66),0)</f>
        <v>8.4295560994347443E-2</v>
      </c>
      <c r="E66" s="61">
        <f>IFERROR((($C66*st_DL)/st_out!D66),0)</f>
        <v>56.27317946730134</v>
      </c>
      <c r="F66" s="61">
        <f>IFERROR((($C66*st_DL)/st_out!E66),0)</f>
        <v>0.60896067519400621</v>
      </c>
      <c r="G66" s="61">
        <f>IFERROR((($C66*st_DL)/st_out!F66),0)</f>
        <v>0.2845254422835799</v>
      </c>
      <c r="H66" s="61">
        <f>IFERROR((($C66*st_DL)/st_out!G66),0)</f>
        <v>0.97778167847193342</v>
      </c>
      <c r="I66" s="61">
        <f>IFERROR((($C66*st_DL)/st_out!H66),0)</f>
        <v>56.642000470579262</v>
      </c>
    </row>
    <row r="67" spans="1:9">
      <c r="A67" s="65" t="s">
        <v>409</v>
      </c>
      <c r="B67" s="89">
        <v>2.0000000000000001E-4</v>
      </c>
      <c r="C67" s="58">
        <v>5</v>
      </c>
      <c r="D67" s="61">
        <f>IFERROR((($C67*st_DL)/st_out!C67),0)</f>
        <v>0</v>
      </c>
      <c r="E67" s="61">
        <f>IFERROR((($C67*st_DL)/st_out!D67),0)</f>
        <v>0</v>
      </c>
      <c r="F67" s="61">
        <f>IFERROR((($C67*st_DL)/st_out!E67),0)</f>
        <v>0</v>
      </c>
      <c r="G67" s="61">
        <f>IFERROR((($C67*st_DL)/st_out!F67),0)</f>
        <v>2.9223295176213751E-8</v>
      </c>
      <c r="H67" s="61">
        <f>IFERROR((($C67*st_DL)/st_out!G67),0)</f>
        <v>2.9223295176213754E-8</v>
      </c>
      <c r="I67" s="61">
        <f>IFERROR((($C67*st_DL)/st_out!H67),0)</f>
        <v>2.9223295176213754E-8</v>
      </c>
    </row>
    <row r="68" spans="1:9">
      <c r="A68" s="65" t="s">
        <v>410</v>
      </c>
      <c r="B68" s="89">
        <v>0.99999979999999999</v>
      </c>
      <c r="C68" s="58">
        <v>5</v>
      </c>
      <c r="D68" s="61">
        <f>IFERROR((($C68*st_DL)/st_out!C68),0)</f>
        <v>6.793517655434933E-2</v>
      </c>
      <c r="E68" s="61">
        <f>IFERROR((($C68*st_DL)/st_out!D68),0)</f>
        <v>44.20622228702296</v>
      </c>
      <c r="F68" s="61">
        <f>IFERROR((($C68*st_DL)/st_out!E68),0)</f>
        <v>0.47837799865785363</v>
      </c>
      <c r="G68" s="61">
        <f>IFERROR((($C68*st_DL)/st_out!F68),0)</f>
        <v>1.5969062495432764</v>
      </c>
      <c r="H68" s="61">
        <f>IFERROR((($C68*st_DL)/st_out!G68),0)</f>
        <v>2.143219424755479</v>
      </c>
      <c r="I68" s="61">
        <f>IFERROR((($C68*st_DL)/st_out!H68),0)</f>
        <v>45.871063713120591</v>
      </c>
    </row>
    <row r="69" spans="1:9">
      <c r="A69" s="65" t="s">
        <v>411</v>
      </c>
      <c r="B69" s="89">
        <v>1.9999999999999999E-7</v>
      </c>
      <c r="C69" s="58">
        <v>5</v>
      </c>
      <c r="D69" s="61">
        <f>IFERROR((($C69*st_DL)/st_out!C69),0)</f>
        <v>0</v>
      </c>
      <c r="E69" s="61">
        <f>IFERROR((($C69*st_DL)/st_out!D69),0)</f>
        <v>0</v>
      </c>
      <c r="F69" s="61">
        <f>IFERROR((($C69*st_DL)/st_out!E69),0)</f>
        <v>0</v>
      </c>
      <c r="G69" s="61">
        <f>IFERROR((($C69*st_DL)/st_out!F69),0)</f>
        <v>1.6664265536208306E-10</v>
      </c>
      <c r="H69" s="61">
        <f>IFERROR((($C69*st_DL)/st_out!G69),0)</f>
        <v>1.6664265536208306E-10</v>
      </c>
      <c r="I69" s="61">
        <f>IFERROR((($C69*st_DL)/st_out!H69),0)</f>
        <v>1.6664265536208306E-10</v>
      </c>
    </row>
    <row r="70" spans="1:9">
      <c r="A70" s="65" t="s">
        <v>412</v>
      </c>
      <c r="B70" s="89">
        <v>0.99979000004200003</v>
      </c>
      <c r="C70" s="58">
        <v>5</v>
      </c>
      <c r="D70" s="61">
        <f>IFERROR((($C70*st_DL)/st_out!C70),0)</f>
        <v>0</v>
      </c>
      <c r="E70" s="61">
        <f>IFERROR((($C70*st_DL)/st_out!D70),0)</f>
        <v>0</v>
      </c>
      <c r="F70" s="61">
        <f>IFERROR((($C70*st_DL)/st_out!E70),0)</f>
        <v>0</v>
      </c>
      <c r="G70" s="61">
        <f>IFERROR((($C70*st_DL)/st_out!F70),0)</f>
        <v>8.9850765107763782E-5</v>
      </c>
      <c r="H70" s="61">
        <f>IFERROR((($C70*st_DL)/st_out!G70),0)</f>
        <v>8.9850765107763782E-5</v>
      </c>
      <c r="I70" s="61">
        <f>IFERROR((($C70*st_DL)/st_out!H70),0)</f>
        <v>8.9850765107763782E-5</v>
      </c>
    </row>
    <row r="71" spans="1:9">
      <c r="A71" s="65" t="s">
        <v>413</v>
      </c>
      <c r="B71" s="89">
        <v>2.0999995799999999E-4</v>
      </c>
      <c r="C71" s="58">
        <v>5</v>
      </c>
      <c r="D71" s="61">
        <f>IFERROR((($C71*st_DL)/st_out!C71),0)</f>
        <v>0</v>
      </c>
      <c r="E71" s="61">
        <f>IFERROR((($C71*st_DL)/st_out!D71),0)</f>
        <v>0</v>
      </c>
      <c r="F71" s="61">
        <f>IFERROR((($C71*st_DL)/st_out!E71),0)</f>
        <v>0</v>
      </c>
      <c r="G71" s="61">
        <f>IFERROR((($C71*st_DL)/st_out!F71),0)</f>
        <v>6.2862542384322132E-4</v>
      </c>
      <c r="H71" s="61">
        <f>IFERROR((($C71*st_DL)/st_out!G71),0)</f>
        <v>6.2862542384322132E-4</v>
      </c>
      <c r="I71" s="61">
        <f>IFERROR((($C71*st_DL)/st_out!H71),0)</f>
        <v>6.2862542384322132E-4</v>
      </c>
    </row>
    <row r="72" spans="1:9">
      <c r="A72" s="65" t="s">
        <v>414</v>
      </c>
      <c r="B72" s="89">
        <v>1</v>
      </c>
      <c r="C72" s="58">
        <v>5</v>
      </c>
      <c r="D72" s="61">
        <f>IFERROR((($C72*st_DL)/st_out!C72),0)</f>
        <v>422.16868159290721</v>
      </c>
      <c r="E72" s="61">
        <f>IFERROR((($C72*st_DL)/st_out!D72),0)</f>
        <v>26947.68368040476</v>
      </c>
      <c r="F72" s="61">
        <f>IFERROR((($C72*st_DL)/st_out!E72),0)</f>
        <v>291.61458094737992</v>
      </c>
      <c r="G72" s="61">
        <f>IFERROR((($C72*st_DL)/st_out!F72),0)</f>
        <v>2.8184244681059472E-3</v>
      </c>
      <c r="H72" s="61">
        <f>IFERROR((($C72*st_DL)/st_out!G72),0)</f>
        <v>713.78608096475523</v>
      </c>
      <c r="I72" s="61">
        <f>IFERROR((($C72*st_DL)/st_out!H72),0)</f>
        <v>27369.855180422135</v>
      </c>
    </row>
    <row r="73" spans="1:9">
      <c r="A73" s="65" t="s">
        <v>415</v>
      </c>
      <c r="B73" s="89">
        <v>1</v>
      </c>
      <c r="C73" s="58">
        <v>5</v>
      </c>
      <c r="D73" s="61">
        <f>IFERROR((($C73*st_DL)/st_out!C73),0)</f>
        <v>0.79459909897515579</v>
      </c>
      <c r="E73" s="61">
        <f>IFERROR((($C73*st_DL)/st_out!D73),0)</f>
        <v>652.46464632489131</v>
      </c>
      <c r="F73" s="61">
        <f>IFERROR((($C73*st_DL)/st_out!E73),0)</f>
        <v>7.060651545326281</v>
      </c>
      <c r="G73" s="61">
        <f>IFERROR((($C73*st_DL)/st_out!F73),0)</f>
        <v>4.1484280626788703E-2</v>
      </c>
      <c r="H73" s="61">
        <f>IFERROR((($C73*st_DL)/st_out!G73),0)</f>
        <v>7.8967349249282259</v>
      </c>
      <c r="I73" s="61">
        <f>IFERROR((($C73*st_DL)/st_out!H73),0)</f>
        <v>653.30072970449328</v>
      </c>
    </row>
    <row r="74" spans="1:9">
      <c r="A74" s="65" t="s">
        <v>416</v>
      </c>
      <c r="B74" s="91">
        <v>1.9000000000000001E-8</v>
      </c>
      <c r="C74" s="58">
        <v>5</v>
      </c>
      <c r="D74" s="61">
        <f>IFERROR((($C74*st_DL)/st_out!C74),0)</f>
        <v>0</v>
      </c>
      <c r="E74" s="61">
        <f>IFERROR((($C74*st_DL)/st_out!D74),0)</f>
        <v>0</v>
      </c>
      <c r="F74" s="61">
        <f>IFERROR((($C74*st_DL)/st_out!E74),0)</f>
        <v>0</v>
      </c>
      <c r="G74" s="61">
        <f>IFERROR((($C74*st_DL)/st_out!F74),0)</f>
        <v>3.3160133198766416E-9</v>
      </c>
      <c r="H74" s="61">
        <f>IFERROR((($C74*st_DL)/st_out!G74),0)</f>
        <v>3.3160133198766416E-9</v>
      </c>
      <c r="I74" s="61">
        <f>IFERROR((($C74*st_DL)/st_out!H74),0)</f>
        <v>3.3160133198766416E-9</v>
      </c>
    </row>
    <row r="75" spans="1:9">
      <c r="A75" s="65" t="s">
        <v>417</v>
      </c>
      <c r="B75" s="89">
        <v>1</v>
      </c>
      <c r="C75" s="58">
        <v>5</v>
      </c>
      <c r="D75" s="61">
        <f>IFERROR((($C75*st_DL)/st_out!C75),0)</f>
        <v>733.94267920605989</v>
      </c>
      <c r="E75" s="61">
        <f>IFERROR((($C75*st_DL)/st_out!D75),0)</f>
        <v>20914.620169866383</v>
      </c>
      <c r="F75" s="61">
        <f>IFERROR((($C75*st_DL)/st_out!E75),0)</f>
        <v>226.32773446662324</v>
      </c>
      <c r="G75" s="61">
        <f>IFERROR((($C75*st_DL)/st_out!F75),0)</f>
        <v>1.0554287487219529E-5</v>
      </c>
      <c r="H75" s="61">
        <f>IFERROR((($C75*st_DL)/st_out!G75),0)</f>
        <v>960.27042422697059</v>
      </c>
      <c r="I75" s="61">
        <f>IFERROR((($C75*st_DL)/st_out!H75),0)</f>
        <v>21648.562859626731</v>
      </c>
    </row>
    <row r="76" spans="1:9">
      <c r="A76" s="65" t="s">
        <v>418</v>
      </c>
      <c r="B76" s="89">
        <v>1.339E-6</v>
      </c>
      <c r="C76" s="58">
        <v>5</v>
      </c>
      <c r="D76" s="61">
        <f>IFERROR((($C76*st_DL)/st_out!C76),0)</f>
        <v>0</v>
      </c>
      <c r="E76" s="61">
        <f>IFERROR((($C76*st_DL)/st_out!D76),0)</f>
        <v>0</v>
      </c>
      <c r="F76" s="61">
        <f>IFERROR((($C76*st_DL)/st_out!E76),0)</f>
        <v>0</v>
      </c>
      <c r="G76" s="61">
        <f>IFERROR((($C76*st_DL)/st_out!F76),0)</f>
        <v>1.0026351635072455E-7</v>
      </c>
      <c r="H76" s="61">
        <f>IFERROR((($C76*st_DL)/st_out!G76),0)</f>
        <v>1.0026351635072455E-7</v>
      </c>
      <c r="I76" s="61">
        <f>IFERROR((($C76*st_DL)/st_out!H76),0)</f>
        <v>1.0026351635072455E-7</v>
      </c>
    </row>
  </sheetData>
  <sheetProtection algorithmName="SHA-512" hashValue="5naxm7UBDm2jXctnpSEX/h6LkgRCIeJnodPabKuQW1RAkKD8MMUIGWGbV2Qo6zD8iDmhR/mG3ek/cW8tSmsapQ==" saltValue="qKOwPCEuOillk5ROX45h5w==" spinCount="100000" sheet="1" objects="1" scenarios="1"/>
  <autoFilter ref="A1:I76" xr:uid="{00000000-0009-0000-0000-000010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79998168889431442"/>
  </sheetPr>
  <dimension ref="A1:I76"/>
  <sheetViews>
    <sheetView workbookViewId="0">
      <pane xSplit="3" ySplit="1" topLeftCell="D2" activePane="bottomRight" state="frozen"/>
      <selection pane="topRight" activeCell="C1" sqref="C1"/>
      <selection pane="bottomLeft" activeCell="A2" sqref="A2"/>
      <selection pane="bottomRight" activeCell="D2" sqref="D2"/>
    </sheetView>
  </sheetViews>
  <sheetFormatPr defaultRowHeight="14.25"/>
  <cols>
    <col min="1" max="1" width="12.59765625" style="4" bestFit="1" customWidth="1"/>
    <col min="2" max="2" width="12" style="77" bestFit="1" customWidth="1"/>
    <col min="3" max="3" width="8.1328125" style="4" bestFit="1" customWidth="1"/>
    <col min="4" max="4" width="16.265625" style="4" bestFit="1" customWidth="1"/>
    <col min="5" max="5" width="19" style="4" bestFit="1" customWidth="1"/>
    <col min="6" max="6" width="18.86328125" style="4" bestFit="1" customWidth="1"/>
    <col min="7" max="7" width="16.265625" style="4" bestFit="1" customWidth="1"/>
    <col min="8" max="8" width="17.73046875" style="4" bestFit="1" customWidth="1"/>
    <col min="9" max="9" width="17.86328125" style="4" bestFit="1" customWidth="1"/>
    <col min="10" max="246" width="9.1328125" style="4"/>
    <col min="247" max="247" width="15.3984375" style="4" bestFit="1" customWidth="1"/>
    <col min="248" max="248" width="11.1328125" style="4" bestFit="1" customWidth="1"/>
    <col min="249" max="249" width="14.59765625" style="4" bestFit="1" customWidth="1"/>
    <col min="250" max="250" width="17.3984375" style="4" bestFit="1" customWidth="1"/>
    <col min="251" max="251" width="17.59765625" style="4" bestFit="1" customWidth="1"/>
    <col min="252" max="252" width="14.73046875" style="4" bestFit="1" customWidth="1"/>
    <col min="253" max="253" width="14.3984375" style="4" bestFit="1" customWidth="1"/>
    <col min="254" max="254" width="12.1328125" style="4" bestFit="1" customWidth="1"/>
    <col min="255" max="255" width="12.3984375" style="4" bestFit="1" customWidth="1"/>
    <col min="256" max="257" width="13.86328125" style="4" bestFit="1" customWidth="1"/>
    <col min="258" max="258" width="14.86328125" style="4" bestFit="1" customWidth="1"/>
    <col min="259" max="259" width="12.1328125" style="4" bestFit="1" customWidth="1"/>
    <col min="260" max="260" width="12.3984375" style="4" bestFit="1" customWidth="1"/>
    <col min="261" max="262" width="13.86328125" style="4" bestFit="1" customWidth="1"/>
    <col min="263" max="263" width="14.86328125" style="4" bestFit="1" customWidth="1"/>
    <col min="264" max="502" width="9.1328125" style="4"/>
    <col min="503" max="503" width="15.3984375" style="4" bestFit="1" customWidth="1"/>
    <col min="504" max="504" width="11.1328125" style="4" bestFit="1" customWidth="1"/>
    <col min="505" max="505" width="14.59765625" style="4" bestFit="1" customWidth="1"/>
    <col min="506" max="506" width="17.3984375" style="4" bestFit="1" customWidth="1"/>
    <col min="507" max="507" width="17.59765625" style="4" bestFit="1" customWidth="1"/>
    <col min="508" max="508" width="14.73046875" style="4" bestFit="1" customWidth="1"/>
    <col min="509" max="509" width="14.3984375" style="4" bestFit="1" customWidth="1"/>
    <col min="510" max="510" width="12.1328125" style="4" bestFit="1" customWidth="1"/>
    <col min="511" max="511" width="12.3984375" style="4" bestFit="1" customWidth="1"/>
    <col min="512" max="513" width="13.86328125" style="4" bestFit="1" customWidth="1"/>
    <col min="514" max="514" width="14.86328125" style="4" bestFit="1" customWidth="1"/>
    <col min="515" max="515" width="12.1328125" style="4" bestFit="1" customWidth="1"/>
    <col min="516" max="516" width="12.3984375" style="4" bestFit="1" customWidth="1"/>
    <col min="517" max="518" width="13.86328125" style="4" bestFit="1" customWidth="1"/>
    <col min="519" max="519" width="14.86328125" style="4" bestFit="1" customWidth="1"/>
    <col min="520" max="758" width="9.1328125" style="4"/>
    <col min="759" max="759" width="15.3984375" style="4" bestFit="1" customWidth="1"/>
    <col min="760" max="760" width="11.1328125" style="4" bestFit="1" customWidth="1"/>
    <col min="761" max="761" width="14.59765625" style="4" bestFit="1" customWidth="1"/>
    <col min="762" max="762" width="17.3984375" style="4" bestFit="1" customWidth="1"/>
    <col min="763" max="763" width="17.59765625" style="4" bestFit="1" customWidth="1"/>
    <col min="764" max="764" width="14.73046875" style="4" bestFit="1" customWidth="1"/>
    <col min="765" max="765" width="14.3984375" style="4" bestFit="1" customWidth="1"/>
    <col min="766" max="766" width="12.1328125" style="4" bestFit="1" customWidth="1"/>
    <col min="767" max="767" width="12.3984375" style="4" bestFit="1" customWidth="1"/>
    <col min="768" max="769" width="13.86328125" style="4" bestFit="1" customWidth="1"/>
    <col min="770" max="770" width="14.86328125" style="4" bestFit="1" customWidth="1"/>
    <col min="771" max="771" width="12.1328125" style="4" bestFit="1" customWidth="1"/>
    <col min="772" max="772" width="12.3984375" style="4" bestFit="1" customWidth="1"/>
    <col min="773" max="774" width="13.86328125" style="4" bestFit="1" customWidth="1"/>
    <col min="775" max="775" width="14.86328125" style="4" bestFit="1" customWidth="1"/>
    <col min="776" max="1014" width="9.1328125" style="4"/>
    <col min="1015" max="1015" width="15.3984375" style="4" bestFit="1" customWidth="1"/>
    <col min="1016" max="1016" width="11.1328125" style="4" bestFit="1" customWidth="1"/>
    <col min="1017" max="1017" width="14.59765625" style="4" bestFit="1" customWidth="1"/>
    <col min="1018" max="1018" width="17.3984375" style="4" bestFit="1" customWidth="1"/>
    <col min="1019" max="1019" width="17.59765625" style="4" bestFit="1" customWidth="1"/>
    <col min="1020" max="1020" width="14.73046875" style="4" bestFit="1" customWidth="1"/>
    <col min="1021" max="1021" width="14.3984375" style="4" bestFit="1" customWidth="1"/>
    <col min="1022" max="1022" width="12.1328125" style="4" bestFit="1" customWidth="1"/>
    <col min="1023" max="1023" width="12.3984375" style="4" bestFit="1" customWidth="1"/>
    <col min="1024" max="1025" width="13.86328125" style="4" bestFit="1" customWidth="1"/>
    <col min="1026" max="1026" width="14.86328125" style="4" bestFit="1" customWidth="1"/>
    <col min="1027" max="1027" width="12.1328125" style="4" bestFit="1" customWidth="1"/>
    <col min="1028" max="1028" width="12.3984375" style="4" bestFit="1" customWidth="1"/>
    <col min="1029" max="1030" width="13.86328125" style="4" bestFit="1" customWidth="1"/>
    <col min="1031" max="1031" width="14.86328125" style="4" bestFit="1" customWidth="1"/>
    <col min="1032" max="1270" width="9.1328125" style="4"/>
    <col min="1271" max="1271" width="15.3984375" style="4" bestFit="1" customWidth="1"/>
    <col min="1272" max="1272" width="11.1328125" style="4" bestFit="1" customWidth="1"/>
    <col min="1273" max="1273" width="14.59765625" style="4" bestFit="1" customWidth="1"/>
    <col min="1274" max="1274" width="17.3984375" style="4" bestFit="1" customWidth="1"/>
    <col min="1275" max="1275" width="17.59765625" style="4" bestFit="1" customWidth="1"/>
    <col min="1276" max="1276" width="14.73046875" style="4" bestFit="1" customWidth="1"/>
    <col min="1277" max="1277" width="14.3984375" style="4" bestFit="1" customWidth="1"/>
    <col min="1278" max="1278" width="12.1328125" style="4" bestFit="1" customWidth="1"/>
    <col min="1279" max="1279" width="12.3984375" style="4" bestFit="1" customWidth="1"/>
    <col min="1280" max="1281" width="13.86328125" style="4" bestFit="1" customWidth="1"/>
    <col min="1282" max="1282" width="14.86328125" style="4" bestFit="1" customWidth="1"/>
    <col min="1283" max="1283" width="12.1328125" style="4" bestFit="1" customWidth="1"/>
    <col min="1284" max="1284" width="12.3984375" style="4" bestFit="1" customWidth="1"/>
    <col min="1285" max="1286" width="13.86328125" style="4" bestFit="1" customWidth="1"/>
    <col min="1287" max="1287" width="14.86328125" style="4" bestFit="1" customWidth="1"/>
    <col min="1288" max="1526" width="9.1328125" style="4"/>
    <col min="1527" max="1527" width="15.3984375" style="4" bestFit="1" customWidth="1"/>
    <col min="1528" max="1528" width="11.1328125" style="4" bestFit="1" customWidth="1"/>
    <col min="1529" max="1529" width="14.59765625" style="4" bestFit="1" customWidth="1"/>
    <col min="1530" max="1530" width="17.3984375" style="4" bestFit="1" customWidth="1"/>
    <col min="1531" max="1531" width="17.59765625" style="4" bestFit="1" customWidth="1"/>
    <col min="1532" max="1532" width="14.73046875" style="4" bestFit="1" customWidth="1"/>
    <col min="1533" max="1533" width="14.3984375" style="4" bestFit="1" customWidth="1"/>
    <col min="1534" max="1534" width="12.1328125" style="4" bestFit="1" customWidth="1"/>
    <col min="1535" max="1535" width="12.3984375" style="4" bestFit="1" customWidth="1"/>
    <col min="1536" max="1537" width="13.86328125" style="4" bestFit="1" customWidth="1"/>
    <col min="1538" max="1538" width="14.86328125" style="4" bestFit="1" customWidth="1"/>
    <col min="1539" max="1539" width="12.1328125" style="4" bestFit="1" customWidth="1"/>
    <col min="1540" max="1540" width="12.3984375" style="4" bestFit="1" customWidth="1"/>
    <col min="1541" max="1542" width="13.86328125" style="4" bestFit="1" customWidth="1"/>
    <col min="1543" max="1543" width="14.86328125" style="4" bestFit="1" customWidth="1"/>
    <col min="1544" max="1782" width="9.1328125" style="4"/>
    <col min="1783" max="1783" width="15.3984375" style="4" bestFit="1" customWidth="1"/>
    <col min="1784" max="1784" width="11.1328125" style="4" bestFit="1" customWidth="1"/>
    <col min="1785" max="1785" width="14.59765625" style="4" bestFit="1" customWidth="1"/>
    <col min="1786" max="1786" width="17.3984375" style="4" bestFit="1" customWidth="1"/>
    <col min="1787" max="1787" width="17.59765625" style="4" bestFit="1" customWidth="1"/>
    <col min="1788" max="1788" width="14.73046875" style="4" bestFit="1" customWidth="1"/>
    <col min="1789" max="1789" width="14.3984375" style="4" bestFit="1" customWidth="1"/>
    <col min="1790" max="1790" width="12.1328125" style="4" bestFit="1" customWidth="1"/>
    <col min="1791" max="1791" width="12.3984375" style="4" bestFit="1" customWidth="1"/>
    <col min="1792" max="1793" width="13.86328125" style="4" bestFit="1" customWidth="1"/>
    <col min="1794" max="1794" width="14.86328125" style="4" bestFit="1" customWidth="1"/>
    <col min="1795" max="1795" width="12.1328125" style="4" bestFit="1" customWidth="1"/>
    <col min="1796" max="1796" width="12.3984375" style="4" bestFit="1" customWidth="1"/>
    <col min="1797" max="1798" width="13.86328125" style="4" bestFit="1" customWidth="1"/>
    <col min="1799" max="1799" width="14.86328125" style="4" bestFit="1" customWidth="1"/>
    <col min="1800" max="2038" width="9.1328125" style="4"/>
    <col min="2039" max="2039" width="15.3984375" style="4" bestFit="1" customWidth="1"/>
    <col min="2040" max="2040" width="11.1328125" style="4" bestFit="1" customWidth="1"/>
    <col min="2041" max="2041" width="14.59765625" style="4" bestFit="1" customWidth="1"/>
    <col min="2042" max="2042" width="17.3984375" style="4" bestFit="1" customWidth="1"/>
    <col min="2043" max="2043" width="17.59765625" style="4" bestFit="1" customWidth="1"/>
    <col min="2044" max="2044" width="14.73046875" style="4" bestFit="1" customWidth="1"/>
    <col min="2045" max="2045" width="14.3984375" style="4" bestFit="1" customWidth="1"/>
    <col min="2046" max="2046" width="12.1328125" style="4" bestFit="1" customWidth="1"/>
    <col min="2047" max="2047" width="12.3984375" style="4" bestFit="1" customWidth="1"/>
    <col min="2048" max="2049" width="13.86328125" style="4" bestFit="1" customWidth="1"/>
    <col min="2050" max="2050" width="14.86328125" style="4" bestFit="1" customWidth="1"/>
    <col min="2051" max="2051" width="12.1328125" style="4" bestFit="1" customWidth="1"/>
    <col min="2052" max="2052" width="12.3984375" style="4" bestFit="1" customWidth="1"/>
    <col min="2053" max="2054" width="13.86328125" style="4" bestFit="1" customWidth="1"/>
    <col min="2055" max="2055" width="14.86328125" style="4" bestFit="1" customWidth="1"/>
    <col min="2056" max="2294" width="9.1328125" style="4"/>
    <col min="2295" max="2295" width="15.3984375" style="4" bestFit="1" customWidth="1"/>
    <col min="2296" max="2296" width="11.1328125" style="4" bestFit="1" customWidth="1"/>
    <col min="2297" max="2297" width="14.59765625" style="4" bestFit="1" customWidth="1"/>
    <col min="2298" max="2298" width="17.3984375" style="4" bestFit="1" customWidth="1"/>
    <col min="2299" max="2299" width="17.59765625" style="4" bestFit="1" customWidth="1"/>
    <col min="2300" max="2300" width="14.73046875" style="4" bestFit="1" customWidth="1"/>
    <col min="2301" max="2301" width="14.3984375" style="4" bestFit="1" customWidth="1"/>
    <col min="2302" max="2302" width="12.1328125" style="4" bestFit="1" customWidth="1"/>
    <col min="2303" max="2303" width="12.3984375" style="4" bestFit="1" customWidth="1"/>
    <col min="2304" max="2305" width="13.86328125" style="4" bestFit="1" customWidth="1"/>
    <col min="2306" max="2306" width="14.86328125" style="4" bestFit="1" customWidth="1"/>
    <col min="2307" max="2307" width="12.1328125" style="4" bestFit="1" customWidth="1"/>
    <col min="2308" max="2308" width="12.3984375" style="4" bestFit="1" customWidth="1"/>
    <col min="2309" max="2310" width="13.86328125" style="4" bestFit="1" customWidth="1"/>
    <col min="2311" max="2311" width="14.86328125" style="4" bestFit="1" customWidth="1"/>
    <col min="2312" max="2550" width="9.1328125" style="4"/>
    <col min="2551" max="2551" width="15.3984375" style="4" bestFit="1" customWidth="1"/>
    <col min="2552" max="2552" width="11.1328125" style="4" bestFit="1" customWidth="1"/>
    <col min="2553" max="2553" width="14.59765625" style="4" bestFit="1" customWidth="1"/>
    <col min="2554" max="2554" width="17.3984375" style="4" bestFit="1" customWidth="1"/>
    <col min="2555" max="2555" width="17.59765625" style="4" bestFit="1" customWidth="1"/>
    <col min="2556" max="2556" width="14.73046875" style="4" bestFit="1" customWidth="1"/>
    <col min="2557" max="2557" width="14.3984375" style="4" bestFit="1" customWidth="1"/>
    <col min="2558" max="2558" width="12.1328125" style="4" bestFit="1" customWidth="1"/>
    <col min="2559" max="2559" width="12.3984375" style="4" bestFit="1" customWidth="1"/>
    <col min="2560" max="2561" width="13.86328125" style="4" bestFit="1" customWidth="1"/>
    <col min="2562" max="2562" width="14.86328125" style="4" bestFit="1" customWidth="1"/>
    <col min="2563" max="2563" width="12.1328125" style="4" bestFit="1" customWidth="1"/>
    <col min="2564" max="2564" width="12.3984375" style="4" bestFit="1" customWidth="1"/>
    <col min="2565" max="2566" width="13.86328125" style="4" bestFit="1" customWidth="1"/>
    <col min="2567" max="2567" width="14.86328125" style="4" bestFit="1" customWidth="1"/>
    <col min="2568" max="2806" width="9.1328125" style="4"/>
    <col min="2807" max="2807" width="15.3984375" style="4" bestFit="1" customWidth="1"/>
    <col min="2808" max="2808" width="11.1328125" style="4" bestFit="1" customWidth="1"/>
    <col min="2809" max="2809" width="14.59765625" style="4" bestFit="1" customWidth="1"/>
    <col min="2810" max="2810" width="17.3984375" style="4" bestFit="1" customWidth="1"/>
    <col min="2811" max="2811" width="17.59765625" style="4" bestFit="1" customWidth="1"/>
    <col min="2812" max="2812" width="14.73046875" style="4" bestFit="1" customWidth="1"/>
    <col min="2813" max="2813" width="14.3984375" style="4" bestFit="1" customWidth="1"/>
    <col min="2814" max="2814" width="12.1328125" style="4" bestFit="1" customWidth="1"/>
    <col min="2815" max="2815" width="12.3984375" style="4" bestFit="1" customWidth="1"/>
    <col min="2816" max="2817" width="13.86328125" style="4" bestFit="1" customWidth="1"/>
    <col min="2818" max="2818" width="14.86328125" style="4" bestFit="1" customWidth="1"/>
    <col min="2819" max="2819" width="12.1328125" style="4" bestFit="1" customWidth="1"/>
    <col min="2820" max="2820" width="12.3984375" style="4" bestFit="1" customWidth="1"/>
    <col min="2821" max="2822" width="13.86328125" style="4" bestFit="1" customWidth="1"/>
    <col min="2823" max="2823" width="14.86328125" style="4" bestFit="1" customWidth="1"/>
    <col min="2824" max="3062" width="9.1328125" style="4"/>
    <col min="3063" max="3063" width="15.3984375" style="4" bestFit="1" customWidth="1"/>
    <col min="3064" max="3064" width="11.1328125" style="4" bestFit="1" customWidth="1"/>
    <col min="3065" max="3065" width="14.59765625" style="4" bestFit="1" customWidth="1"/>
    <col min="3066" max="3066" width="17.3984375" style="4" bestFit="1" customWidth="1"/>
    <col min="3067" max="3067" width="17.59765625" style="4" bestFit="1" customWidth="1"/>
    <col min="3068" max="3068" width="14.73046875" style="4" bestFit="1" customWidth="1"/>
    <col min="3069" max="3069" width="14.3984375" style="4" bestFit="1" customWidth="1"/>
    <col min="3070" max="3070" width="12.1328125" style="4" bestFit="1" customWidth="1"/>
    <col min="3071" max="3071" width="12.3984375" style="4" bestFit="1" customWidth="1"/>
    <col min="3072" max="3073" width="13.86328125" style="4" bestFit="1" customWidth="1"/>
    <col min="3074" max="3074" width="14.86328125" style="4" bestFit="1" customWidth="1"/>
    <col min="3075" max="3075" width="12.1328125" style="4" bestFit="1" customWidth="1"/>
    <col min="3076" max="3076" width="12.3984375" style="4" bestFit="1" customWidth="1"/>
    <col min="3077" max="3078" width="13.86328125" style="4" bestFit="1" customWidth="1"/>
    <col min="3079" max="3079" width="14.86328125" style="4" bestFit="1" customWidth="1"/>
    <col min="3080" max="3318" width="9.1328125" style="4"/>
    <col min="3319" max="3319" width="15.3984375" style="4" bestFit="1" customWidth="1"/>
    <col min="3320" max="3320" width="11.1328125" style="4" bestFit="1" customWidth="1"/>
    <col min="3321" max="3321" width="14.59765625" style="4" bestFit="1" customWidth="1"/>
    <col min="3322" max="3322" width="17.3984375" style="4" bestFit="1" customWidth="1"/>
    <col min="3323" max="3323" width="17.59765625" style="4" bestFit="1" customWidth="1"/>
    <col min="3324" max="3324" width="14.73046875" style="4" bestFit="1" customWidth="1"/>
    <col min="3325" max="3325" width="14.3984375" style="4" bestFit="1" customWidth="1"/>
    <col min="3326" max="3326" width="12.1328125" style="4" bestFit="1" customWidth="1"/>
    <col min="3327" max="3327" width="12.3984375" style="4" bestFit="1" customWidth="1"/>
    <col min="3328" max="3329" width="13.86328125" style="4" bestFit="1" customWidth="1"/>
    <col min="3330" max="3330" width="14.86328125" style="4" bestFit="1" customWidth="1"/>
    <col min="3331" max="3331" width="12.1328125" style="4" bestFit="1" customWidth="1"/>
    <col min="3332" max="3332" width="12.3984375" style="4" bestFit="1" customWidth="1"/>
    <col min="3333" max="3334" width="13.86328125" style="4" bestFit="1" customWidth="1"/>
    <col min="3335" max="3335" width="14.86328125" style="4" bestFit="1" customWidth="1"/>
    <col min="3336" max="3574" width="9.1328125" style="4"/>
    <col min="3575" max="3575" width="15.3984375" style="4" bestFit="1" customWidth="1"/>
    <col min="3576" max="3576" width="11.1328125" style="4" bestFit="1" customWidth="1"/>
    <col min="3577" max="3577" width="14.59765625" style="4" bestFit="1" customWidth="1"/>
    <col min="3578" max="3578" width="17.3984375" style="4" bestFit="1" customWidth="1"/>
    <col min="3579" max="3579" width="17.59765625" style="4" bestFit="1" customWidth="1"/>
    <col min="3580" max="3580" width="14.73046875" style="4" bestFit="1" customWidth="1"/>
    <col min="3581" max="3581" width="14.3984375" style="4" bestFit="1" customWidth="1"/>
    <col min="3582" max="3582" width="12.1328125" style="4" bestFit="1" customWidth="1"/>
    <col min="3583" max="3583" width="12.3984375" style="4" bestFit="1" customWidth="1"/>
    <col min="3584" max="3585" width="13.86328125" style="4" bestFit="1" customWidth="1"/>
    <col min="3586" max="3586" width="14.86328125" style="4" bestFit="1" customWidth="1"/>
    <col min="3587" max="3587" width="12.1328125" style="4" bestFit="1" customWidth="1"/>
    <col min="3588" max="3588" width="12.3984375" style="4" bestFit="1" customWidth="1"/>
    <col min="3589" max="3590" width="13.86328125" style="4" bestFit="1" customWidth="1"/>
    <col min="3591" max="3591" width="14.86328125" style="4" bestFit="1" customWidth="1"/>
    <col min="3592" max="3830" width="9.1328125" style="4"/>
    <col min="3831" max="3831" width="15.3984375" style="4" bestFit="1" customWidth="1"/>
    <col min="3832" max="3832" width="11.1328125" style="4" bestFit="1" customWidth="1"/>
    <col min="3833" max="3833" width="14.59765625" style="4" bestFit="1" customWidth="1"/>
    <col min="3834" max="3834" width="17.3984375" style="4" bestFit="1" customWidth="1"/>
    <col min="3835" max="3835" width="17.59765625" style="4" bestFit="1" customWidth="1"/>
    <col min="3836" max="3836" width="14.73046875" style="4" bestFit="1" customWidth="1"/>
    <col min="3837" max="3837" width="14.3984375" style="4" bestFit="1" customWidth="1"/>
    <col min="3838" max="3838" width="12.1328125" style="4" bestFit="1" customWidth="1"/>
    <col min="3839" max="3839" width="12.3984375" style="4" bestFit="1" customWidth="1"/>
    <col min="3840" max="3841" width="13.86328125" style="4" bestFit="1" customWidth="1"/>
    <col min="3842" max="3842" width="14.86328125" style="4" bestFit="1" customWidth="1"/>
    <col min="3843" max="3843" width="12.1328125" style="4" bestFit="1" customWidth="1"/>
    <col min="3844" max="3844" width="12.3984375" style="4" bestFit="1" customWidth="1"/>
    <col min="3845" max="3846" width="13.86328125" style="4" bestFit="1" customWidth="1"/>
    <col min="3847" max="3847" width="14.86328125" style="4" bestFit="1" customWidth="1"/>
    <col min="3848" max="4086" width="9.1328125" style="4"/>
    <col min="4087" max="4087" width="15.3984375" style="4" bestFit="1" customWidth="1"/>
    <col min="4088" max="4088" width="11.1328125" style="4" bestFit="1" customWidth="1"/>
    <col min="4089" max="4089" width="14.59765625" style="4" bestFit="1" customWidth="1"/>
    <col min="4090" max="4090" width="17.3984375" style="4" bestFit="1" customWidth="1"/>
    <col min="4091" max="4091" width="17.59765625" style="4" bestFit="1" customWidth="1"/>
    <col min="4092" max="4092" width="14.73046875" style="4" bestFit="1" customWidth="1"/>
    <col min="4093" max="4093" width="14.3984375" style="4" bestFit="1" customWidth="1"/>
    <col min="4094" max="4094" width="12.1328125" style="4" bestFit="1" customWidth="1"/>
    <col min="4095" max="4095" width="12.3984375" style="4" bestFit="1" customWidth="1"/>
    <col min="4096" max="4097" width="13.86328125" style="4" bestFit="1" customWidth="1"/>
    <col min="4098" max="4098" width="14.86328125" style="4" bestFit="1" customWidth="1"/>
    <col min="4099" max="4099" width="12.1328125" style="4" bestFit="1" customWidth="1"/>
    <col min="4100" max="4100" width="12.3984375" style="4" bestFit="1" customWidth="1"/>
    <col min="4101" max="4102" width="13.86328125" style="4" bestFit="1" customWidth="1"/>
    <col min="4103" max="4103" width="14.86328125" style="4" bestFit="1" customWidth="1"/>
    <col min="4104" max="4342" width="9.1328125" style="4"/>
    <col min="4343" max="4343" width="15.3984375" style="4" bestFit="1" customWidth="1"/>
    <col min="4344" max="4344" width="11.1328125" style="4" bestFit="1" customWidth="1"/>
    <col min="4345" max="4345" width="14.59765625" style="4" bestFit="1" customWidth="1"/>
    <col min="4346" max="4346" width="17.3984375" style="4" bestFit="1" customWidth="1"/>
    <col min="4347" max="4347" width="17.59765625" style="4" bestFit="1" customWidth="1"/>
    <col min="4348" max="4348" width="14.73046875" style="4" bestFit="1" customWidth="1"/>
    <col min="4349" max="4349" width="14.3984375" style="4" bestFit="1" customWidth="1"/>
    <col min="4350" max="4350" width="12.1328125" style="4" bestFit="1" customWidth="1"/>
    <col min="4351" max="4351" width="12.3984375" style="4" bestFit="1" customWidth="1"/>
    <col min="4352" max="4353" width="13.86328125" style="4" bestFit="1" customWidth="1"/>
    <col min="4354" max="4354" width="14.86328125" style="4" bestFit="1" customWidth="1"/>
    <col min="4355" max="4355" width="12.1328125" style="4" bestFit="1" customWidth="1"/>
    <col min="4356" max="4356" width="12.3984375" style="4" bestFit="1" customWidth="1"/>
    <col min="4357" max="4358" width="13.86328125" style="4" bestFit="1" customWidth="1"/>
    <col min="4359" max="4359" width="14.86328125" style="4" bestFit="1" customWidth="1"/>
    <col min="4360" max="4598" width="9.1328125" style="4"/>
    <col min="4599" max="4599" width="15.3984375" style="4" bestFit="1" customWidth="1"/>
    <col min="4600" max="4600" width="11.1328125" style="4" bestFit="1" customWidth="1"/>
    <col min="4601" max="4601" width="14.59765625" style="4" bestFit="1" customWidth="1"/>
    <col min="4602" max="4602" width="17.3984375" style="4" bestFit="1" customWidth="1"/>
    <col min="4603" max="4603" width="17.59765625" style="4" bestFit="1" customWidth="1"/>
    <col min="4604" max="4604" width="14.73046875" style="4" bestFit="1" customWidth="1"/>
    <col min="4605" max="4605" width="14.3984375" style="4" bestFit="1" customWidth="1"/>
    <col min="4606" max="4606" width="12.1328125" style="4" bestFit="1" customWidth="1"/>
    <col min="4607" max="4607" width="12.3984375" style="4" bestFit="1" customWidth="1"/>
    <col min="4608" max="4609" width="13.86328125" style="4" bestFit="1" customWidth="1"/>
    <col min="4610" max="4610" width="14.86328125" style="4" bestFit="1" customWidth="1"/>
    <col min="4611" max="4611" width="12.1328125" style="4" bestFit="1" customWidth="1"/>
    <col min="4612" max="4612" width="12.3984375" style="4" bestFit="1" customWidth="1"/>
    <col min="4613" max="4614" width="13.86328125" style="4" bestFit="1" customWidth="1"/>
    <col min="4615" max="4615" width="14.86328125" style="4" bestFit="1" customWidth="1"/>
    <col min="4616" max="4854" width="9.1328125" style="4"/>
    <col min="4855" max="4855" width="15.3984375" style="4" bestFit="1" customWidth="1"/>
    <col min="4856" max="4856" width="11.1328125" style="4" bestFit="1" customWidth="1"/>
    <col min="4857" max="4857" width="14.59765625" style="4" bestFit="1" customWidth="1"/>
    <col min="4858" max="4858" width="17.3984375" style="4" bestFit="1" customWidth="1"/>
    <col min="4859" max="4859" width="17.59765625" style="4" bestFit="1" customWidth="1"/>
    <col min="4860" max="4860" width="14.73046875" style="4" bestFit="1" customWidth="1"/>
    <col min="4861" max="4861" width="14.3984375" style="4" bestFit="1" customWidth="1"/>
    <col min="4862" max="4862" width="12.1328125" style="4" bestFit="1" customWidth="1"/>
    <col min="4863" max="4863" width="12.3984375" style="4" bestFit="1" customWidth="1"/>
    <col min="4864" max="4865" width="13.86328125" style="4" bestFit="1" customWidth="1"/>
    <col min="4866" max="4866" width="14.86328125" style="4" bestFit="1" customWidth="1"/>
    <col min="4867" max="4867" width="12.1328125" style="4" bestFit="1" customWidth="1"/>
    <col min="4868" max="4868" width="12.3984375" style="4" bestFit="1" customWidth="1"/>
    <col min="4869" max="4870" width="13.86328125" style="4" bestFit="1" customWidth="1"/>
    <col min="4871" max="4871" width="14.86328125" style="4" bestFit="1" customWidth="1"/>
    <col min="4872" max="5110" width="9.1328125" style="4"/>
    <col min="5111" max="5111" width="15.3984375" style="4" bestFit="1" customWidth="1"/>
    <col min="5112" max="5112" width="11.1328125" style="4" bestFit="1" customWidth="1"/>
    <col min="5113" max="5113" width="14.59765625" style="4" bestFit="1" customWidth="1"/>
    <col min="5114" max="5114" width="17.3984375" style="4" bestFit="1" customWidth="1"/>
    <col min="5115" max="5115" width="17.59765625" style="4" bestFit="1" customWidth="1"/>
    <col min="5116" max="5116" width="14.73046875" style="4" bestFit="1" customWidth="1"/>
    <col min="5117" max="5117" width="14.3984375" style="4" bestFit="1" customWidth="1"/>
    <col min="5118" max="5118" width="12.1328125" style="4" bestFit="1" customWidth="1"/>
    <col min="5119" max="5119" width="12.3984375" style="4" bestFit="1" customWidth="1"/>
    <col min="5120" max="5121" width="13.86328125" style="4" bestFit="1" customWidth="1"/>
    <col min="5122" max="5122" width="14.86328125" style="4" bestFit="1" customWidth="1"/>
    <col min="5123" max="5123" width="12.1328125" style="4" bestFit="1" customWidth="1"/>
    <col min="5124" max="5124" width="12.3984375" style="4" bestFit="1" customWidth="1"/>
    <col min="5125" max="5126" width="13.86328125" style="4" bestFit="1" customWidth="1"/>
    <col min="5127" max="5127" width="14.86328125" style="4" bestFit="1" customWidth="1"/>
    <col min="5128" max="5366" width="9.1328125" style="4"/>
    <col min="5367" max="5367" width="15.3984375" style="4" bestFit="1" customWidth="1"/>
    <col min="5368" max="5368" width="11.1328125" style="4" bestFit="1" customWidth="1"/>
    <col min="5369" max="5369" width="14.59765625" style="4" bestFit="1" customWidth="1"/>
    <col min="5370" max="5370" width="17.3984375" style="4" bestFit="1" customWidth="1"/>
    <col min="5371" max="5371" width="17.59765625" style="4" bestFit="1" customWidth="1"/>
    <col min="5372" max="5372" width="14.73046875" style="4" bestFit="1" customWidth="1"/>
    <col min="5373" max="5373" width="14.3984375" style="4" bestFit="1" customWidth="1"/>
    <col min="5374" max="5374" width="12.1328125" style="4" bestFit="1" customWidth="1"/>
    <col min="5375" max="5375" width="12.3984375" style="4" bestFit="1" customWidth="1"/>
    <col min="5376" max="5377" width="13.86328125" style="4" bestFit="1" customWidth="1"/>
    <col min="5378" max="5378" width="14.86328125" style="4" bestFit="1" customWidth="1"/>
    <col min="5379" max="5379" width="12.1328125" style="4" bestFit="1" customWidth="1"/>
    <col min="5380" max="5380" width="12.3984375" style="4" bestFit="1" customWidth="1"/>
    <col min="5381" max="5382" width="13.86328125" style="4" bestFit="1" customWidth="1"/>
    <col min="5383" max="5383" width="14.86328125" style="4" bestFit="1" customWidth="1"/>
    <col min="5384" max="5622" width="9.1328125" style="4"/>
    <col min="5623" max="5623" width="15.3984375" style="4" bestFit="1" customWidth="1"/>
    <col min="5624" max="5624" width="11.1328125" style="4" bestFit="1" customWidth="1"/>
    <col min="5625" max="5625" width="14.59765625" style="4" bestFit="1" customWidth="1"/>
    <col min="5626" max="5626" width="17.3984375" style="4" bestFit="1" customWidth="1"/>
    <col min="5627" max="5627" width="17.59765625" style="4" bestFit="1" customWidth="1"/>
    <col min="5628" max="5628" width="14.73046875" style="4" bestFit="1" customWidth="1"/>
    <col min="5629" max="5629" width="14.3984375" style="4" bestFit="1" customWidth="1"/>
    <col min="5630" max="5630" width="12.1328125" style="4" bestFit="1" customWidth="1"/>
    <col min="5631" max="5631" width="12.3984375" style="4" bestFit="1" customWidth="1"/>
    <col min="5632" max="5633" width="13.86328125" style="4" bestFit="1" customWidth="1"/>
    <col min="5634" max="5634" width="14.86328125" style="4" bestFit="1" customWidth="1"/>
    <col min="5635" max="5635" width="12.1328125" style="4" bestFit="1" customWidth="1"/>
    <col min="5636" max="5636" width="12.3984375" style="4" bestFit="1" customWidth="1"/>
    <col min="5637" max="5638" width="13.86328125" style="4" bestFit="1" customWidth="1"/>
    <col min="5639" max="5639" width="14.86328125" style="4" bestFit="1" customWidth="1"/>
    <col min="5640" max="5878" width="9.1328125" style="4"/>
    <col min="5879" max="5879" width="15.3984375" style="4" bestFit="1" customWidth="1"/>
    <col min="5880" max="5880" width="11.1328125" style="4" bestFit="1" customWidth="1"/>
    <col min="5881" max="5881" width="14.59765625" style="4" bestFit="1" customWidth="1"/>
    <col min="5882" max="5882" width="17.3984375" style="4" bestFit="1" customWidth="1"/>
    <col min="5883" max="5883" width="17.59765625" style="4" bestFit="1" customWidth="1"/>
    <col min="5884" max="5884" width="14.73046875" style="4" bestFit="1" customWidth="1"/>
    <col min="5885" max="5885" width="14.3984375" style="4" bestFit="1" customWidth="1"/>
    <col min="5886" max="5886" width="12.1328125" style="4" bestFit="1" customWidth="1"/>
    <col min="5887" max="5887" width="12.3984375" style="4" bestFit="1" customWidth="1"/>
    <col min="5888" max="5889" width="13.86328125" style="4" bestFit="1" customWidth="1"/>
    <col min="5890" max="5890" width="14.86328125" style="4" bestFit="1" customWidth="1"/>
    <col min="5891" max="5891" width="12.1328125" style="4" bestFit="1" customWidth="1"/>
    <col min="5892" max="5892" width="12.3984375" style="4" bestFit="1" customWidth="1"/>
    <col min="5893" max="5894" width="13.86328125" style="4" bestFit="1" customWidth="1"/>
    <col min="5895" max="5895" width="14.86328125" style="4" bestFit="1" customWidth="1"/>
    <col min="5896" max="6134" width="9.1328125" style="4"/>
    <col min="6135" max="6135" width="15.3984375" style="4" bestFit="1" customWidth="1"/>
    <col min="6136" max="6136" width="11.1328125" style="4" bestFit="1" customWidth="1"/>
    <col min="6137" max="6137" width="14.59765625" style="4" bestFit="1" customWidth="1"/>
    <col min="6138" max="6138" width="17.3984375" style="4" bestFit="1" customWidth="1"/>
    <col min="6139" max="6139" width="17.59765625" style="4" bestFit="1" customWidth="1"/>
    <col min="6140" max="6140" width="14.73046875" style="4" bestFit="1" customWidth="1"/>
    <col min="6141" max="6141" width="14.3984375" style="4" bestFit="1" customWidth="1"/>
    <col min="6142" max="6142" width="12.1328125" style="4" bestFit="1" customWidth="1"/>
    <col min="6143" max="6143" width="12.3984375" style="4" bestFit="1" customWidth="1"/>
    <col min="6144" max="6145" width="13.86328125" style="4" bestFit="1" customWidth="1"/>
    <col min="6146" max="6146" width="14.86328125" style="4" bestFit="1" customWidth="1"/>
    <col min="6147" max="6147" width="12.1328125" style="4" bestFit="1" customWidth="1"/>
    <col min="6148" max="6148" width="12.3984375" style="4" bestFit="1" customWidth="1"/>
    <col min="6149" max="6150" width="13.86328125" style="4" bestFit="1" customWidth="1"/>
    <col min="6151" max="6151" width="14.86328125" style="4" bestFit="1" customWidth="1"/>
    <col min="6152" max="6390" width="9.1328125" style="4"/>
    <col min="6391" max="6391" width="15.3984375" style="4" bestFit="1" customWidth="1"/>
    <col min="6392" max="6392" width="11.1328125" style="4" bestFit="1" customWidth="1"/>
    <col min="6393" max="6393" width="14.59765625" style="4" bestFit="1" customWidth="1"/>
    <col min="6394" max="6394" width="17.3984375" style="4" bestFit="1" customWidth="1"/>
    <col min="6395" max="6395" width="17.59765625" style="4" bestFit="1" customWidth="1"/>
    <col min="6396" max="6396" width="14.73046875" style="4" bestFit="1" customWidth="1"/>
    <col min="6397" max="6397" width="14.3984375" style="4" bestFit="1" customWidth="1"/>
    <col min="6398" max="6398" width="12.1328125" style="4" bestFit="1" customWidth="1"/>
    <col min="6399" max="6399" width="12.3984375" style="4" bestFit="1" customWidth="1"/>
    <col min="6400" max="6401" width="13.86328125" style="4" bestFit="1" customWidth="1"/>
    <col min="6402" max="6402" width="14.86328125" style="4" bestFit="1" customWidth="1"/>
    <col min="6403" max="6403" width="12.1328125" style="4" bestFit="1" customWidth="1"/>
    <col min="6404" max="6404" width="12.3984375" style="4" bestFit="1" customWidth="1"/>
    <col min="6405" max="6406" width="13.86328125" style="4" bestFit="1" customWidth="1"/>
    <col min="6407" max="6407" width="14.86328125" style="4" bestFit="1" customWidth="1"/>
    <col min="6408" max="6646" width="9.1328125" style="4"/>
    <col min="6647" max="6647" width="15.3984375" style="4" bestFit="1" customWidth="1"/>
    <col min="6648" max="6648" width="11.1328125" style="4" bestFit="1" customWidth="1"/>
    <col min="6649" max="6649" width="14.59765625" style="4" bestFit="1" customWidth="1"/>
    <col min="6650" max="6650" width="17.3984375" style="4" bestFit="1" customWidth="1"/>
    <col min="6651" max="6651" width="17.59765625" style="4" bestFit="1" customWidth="1"/>
    <col min="6652" max="6652" width="14.73046875" style="4" bestFit="1" customWidth="1"/>
    <col min="6653" max="6653" width="14.3984375" style="4" bestFit="1" customWidth="1"/>
    <col min="6654" max="6654" width="12.1328125" style="4" bestFit="1" customWidth="1"/>
    <col min="6655" max="6655" width="12.3984375" style="4" bestFit="1" customWidth="1"/>
    <col min="6656" max="6657" width="13.86328125" style="4" bestFit="1" customWidth="1"/>
    <col min="6658" max="6658" width="14.86328125" style="4" bestFit="1" customWidth="1"/>
    <col min="6659" max="6659" width="12.1328125" style="4" bestFit="1" customWidth="1"/>
    <col min="6660" max="6660" width="12.3984375" style="4" bestFit="1" customWidth="1"/>
    <col min="6661" max="6662" width="13.86328125" style="4" bestFit="1" customWidth="1"/>
    <col min="6663" max="6663" width="14.86328125" style="4" bestFit="1" customWidth="1"/>
    <col min="6664" max="6902" width="9.1328125" style="4"/>
    <col min="6903" max="6903" width="15.3984375" style="4" bestFit="1" customWidth="1"/>
    <col min="6904" max="6904" width="11.1328125" style="4" bestFit="1" customWidth="1"/>
    <col min="6905" max="6905" width="14.59765625" style="4" bestFit="1" customWidth="1"/>
    <col min="6906" max="6906" width="17.3984375" style="4" bestFit="1" customWidth="1"/>
    <col min="6907" max="6907" width="17.59765625" style="4" bestFit="1" customWidth="1"/>
    <col min="6908" max="6908" width="14.73046875" style="4" bestFit="1" customWidth="1"/>
    <col min="6909" max="6909" width="14.3984375" style="4" bestFit="1" customWidth="1"/>
    <col min="6910" max="6910" width="12.1328125" style="4" bestFit="1" customWidth="1"/>
    <col min="6911" max="6911" width="12.3984375" style="4" bestFit="1" customWidth="1"/>
    <col min="6912" max="6913" width="13.86328125" style="4" bestFit="1" customWidth="1"/>
    <col min="6914" max="6914" width="14.86328125" style="4" bestFit="1" customWidth="1"/>
    <col min="6915" max="6915" width="12.1328125" style="4" bestFit="1" customWidth="1"/>
    <col min="6916" max="6916" width="12.3984375" style="4" bestFit="1" customWidth="1"/>
    <col min="6917" max="6918" width="13.86328125" style="4" bestFit="1" customWidth="1"/>
    <col min="6919" max="6919" width="14.86328125" style="4" bestFit="1" customWidth="1"/>
    <col min="6920" max="7158" width="9.1328125" style="4"/>
    <col min="7159" max="7159" width="15.3984375" style="4" bestFit="1" customWidth="1"/>
    <col min="7160" max="7160" width="11.1328125" style="4" bestFit="1" customWidth="1"/>
    <col min="7161" max="7161" width="14.59765625" style="4" bestFit="1" customWidth="1"/>
    <col min="7162" max="7162" width="17.3984375" style="4" bestFit="1" customWidth="1"/>
    <col min="7163" max="7163" width="17.59765625" style="4" bestFit="1" customWidth="1"/>
    <col min="7164" max="7164" width="14.73046875" style="4" bestFit="1" customWidth="1"/>
    <col min="7165" max="7165" width="14.3984375" style="4" bestFit="1" customWidth="1"/>
    <col min="7166" max="7166" width="12.1328125" style="4" bestFit="1" customWidth="1"/>
    <col min="7167" max="7167" width="12.3984375" style="4" bestFit="1" customWidth="1"/>
    <col min="7168" max="7169" width="13.86328125" style="4" bestFit="1" customWidth="1"/>
    <col min="7170" max="7170" width="14.86328125" style="4" bestFit="1" customWidth="1"/>
    <col min="7171" max="7171" width="12.1328125" style="4" bestFit="1" customWidth="1"/>
    <col min="7172" max="7172" width="12.3984375" style="4" bestFit="1" customWidth="1"/>
    <col min="7173" max="7174" width="13.86328125" style="4" bestFit="1" customWidth="1"/>
    <col min="7175" max="7175" width="14.86328125" style="4" bestFit="1" customWidth="1"/>
    <col min="7176" max="7414" width="9.1328125" style="4"/>
    <col min="7415" max="7415" width="15.3984375" style="4" bestFit="1" customWidth="1"/>
    <col min="7416" max="7416" width="11.1328125" style="4" bestFit="1" customWidth="1"/>
    <col min="7417" max="7417" width="14.59765625" style="4" bestFit="1" customWidth="1"/>
    <col min="7418" max="7418" width="17.3984375" style="4" bestFit="1" customWidth="1"/>
    <col min="7419" max="7419" width="17.59765625" style="4" bestFit="1" customWidth="1"/>
    <col min="7420" max="7420" width="14.73046875" style="4" bestFit="1" customWidth="1"/>
    <col min="7421" max="7421" width="14.3984375" style="4" bestFit="1" customWidth="1"/>
    <col min="7422" max="7422" width="12.1328125" style="4" bestFit="1" customWidth="1"/>
    <col min="7423" max="7423" width="12.3984375" style="4" bestFit="1" customWidth="1"/>
    <col min="7424" max="7425" width="13.86328125" style="4" bestFit="1" customWidth="1"/>
    <col min="7426" max="7426" width="14.86328125" style="4" bestFit="1" customWidth="1"/>
    <col min="7427" max="7427" width="12.1328125" style="4" bestFit="1" customWidth="1"/>
    <col min="7428" max="7428" width="12.3984375" style="4" bestFit="1" customWidth="1"/>
    <col min="7429" max="7430" width="13.86328125" style="4" bestFit="1" customWidth="1"/>
    <col min="7431" max="7431" width="14.86328125" style="4" bestFit="1" customWidth="1"/>
    <col min="7432" max="7670" width="9.1328125" style="4"/>
    <col min="7671" max="7671" width="15.3984375" style="4" bestFit="1" customWidth="1"/>
    <col min="7672" max="7672" width="11.1328125" style="4" bestFit="1" customWidth="1"/>
    <col min="7673" max="7673" width="14.59765625" style="4" bestFit="1" customWidth="1"/>
    <col min="7674" max="7674" width="17.3984375" style="4" bestFit="1" customWidth="1"/>
    <col min="7675" max="7675" width="17.59765625" style="4" bestFit="1" customWidth="1"/>
    <col min="7676" max="7676" width="14.73046875" style="4" bestFit="1" customWidth="1"/>
    <col min="7677" max="7677" width="14.3984375" style="4" bestFit="1" customWidth="1"/>
    <col min="7678" max="7678" width="12.1328125" style="4" bestFit="1" customWidth="1"/>
    <col min="7679" max="7679" width="12.3984375" style="4" bestFit="1" customWidth="1"/>
    <col min="7680" max="7681" width="13.86328125" style="4" bestFit="1" customWidth="1"/>
    <col min="7682" max="7682" width="14.86328125" style="4" bestFit="1" customWidth="1"/>
    <col min="7683" max="7683" width="12.1328125" style="4" bestFit="1" customWidth="1"/>
    <col min="7684" max="7684" width="12.3984375" style="4" bestFit="1" customWidth="1"/>
    <col min="7685" max="7686" width="13.86328125" style="4" bestFit="1" customWidth="1"/>
    <col min="7687" max="7687" width="14.86328125" style="4" bestFit="1" customWidth="1"/>
    <col min="7688" max="7926" width="9.1328125" style="4"/>
    <col min="7927" max="7927" width="15.3984375" style="4" bestFit="1" customWidth="1"/>
    <col min="7928" max="7928" width="11.1328125" style="4" bestFit="1" customWidth="1"/>
    <col min="7929" max="7929" width="14.59765625" style="4" bestFit="1" customWidth="1"/>
    <col min="7930" max="7930" width="17.3984375" style="4" bestFit="1" customWidth="1"/>
    <col min="7931" max="7931" width="17.59765625" style="4" bestFit="1" customWidth="1"/>
    <col min="7932" max="7932" width="14.73046875" style="4" bestFit="1" customWidth="1"/>
    <col min="7933" max="7933" width="14.3984375" style="4" bestFit="1" customWidth="1"/>
    <col min="7934" max="7934" width="12.1328125" style="4" bestFit="1" customWidth="1"/>
    <col min="7935" max="7935" width="12.3984375" style="4" bestFit="1" customWidth="1"/>
    <col min="7936" max="7937" width="13.86328125" style="4" bestFit="1" customWidth="1"/>
    <col min="7938" max="7938" width="14.86328125" style="4" bestFit="1" customWidth="1"/>
    <col min="7939" max="7939" width="12.1328125" style="4" bestFit="1" customWidth="1"/>
    <col min="7940" max="7940" width="12.3984375" style="4" bestFit="1" customWidth="1"/>
    <col min="7941" max="7942" width="13.86328125" style="4" bestFit="1" customWidth="1"/>
    <col min="7943" max="7943" width="14.86328125" style="4" bestFit="1" customWidth="1"/>
    <col min="7944" max="8182" width="9.1328125" style="4"/>
    <col min="8183" max="8183" width="15.3984375" style="4" bestFit="1" customWidth="1"/>
    <col min="8184" max="8184" width="11.1328125" style="4" bestFit="1" customWidth="1"/>
    <col min="8185" max="8185" width="14.59765625" style="4" bestFit="1" customWidth="1"/>
    <col min="8186" max="8186" width="17.3984375" style="4" bestFit="1" customWidth="1"/>
    <col min="8187" max="8187" width="17.59765625" style="4" bestFit="1" customWidth="1"/>
    <col min="8188" max="8188" width="14.73046875" style="4" bestFit="1" customWidth="1"/>
    <col min="8189" max="8189" width="14.3984375" style="4" bestFit="1" customWidth="1"/>
    <col min="8190" max="8190" width="12.1328125" style="4" bestFit="1" customWidth="1"/>
    <col min="8191" max="8191" width="12.3984375" style="4" bestFit="1" customWidth="1"/>
    <col min="8192" max="8193" width="13.86328125" style="4" bestFit="1" customWidth="1"/>
    <col min="8194" max="8194" width="14.86328125" style="4" bestFit="1" customWidth="1"/>
    <col min="8195" max="8195" width="12.1328125" style="4" bestFit="1" customWidth="1"/>
    <col min="8196" max="8196" width="12.3984375" style="4" bestFit="1" customWidth="1"/>
    <col min="8197" max="8198" width="13.86328125" style="4" bestFit="1" customWidth="1"/>
    <col min="8199" max="8199" width="14.86328125" style="4" bestFit="1" customWidth="1"/>
    <col min="8200" max="8438" width="9.1328125" style="4"/>
    <col min="8439" max="8439" width="15.3984375" style="4" bestFit="1" customWidth="1"/>
    <col min="8440" max="8440" width="11.1328125" style="4" bestFit="1" customWidth="1"/>
    <col min="8441" max="8441" width="14.59765625" style="4" bestFit="1" customWidth="1"/>
    <col min="8442" max="8442" width="17.3984375" style="4" bestFit="1" customWidth="1"/>
    <col min="8443" max="8443" width="17.59765625" style="4" bestFit="1" customWidth="1"/>
    <col min="8444" max="8444" width="14.73046875" style="4" bestFit="1" customWidth="1"/>
    <col min="8445" max="8445" width="14.3984375" style="4" bestFit="1" customWidth="1"/>
    <col min="8446" max="8446" width="12.1328125" style="4" bestFit="1" customWidth="1"/>
    <col min="8447" max="8447" width="12.3984375" style="4" bestFit="1" customWidth="1"/>
    <col min="8448" max="8449" width="13.86328125" style="4" bestFit="1" customWidth="1"/>
    <col min="8450" max="8450" width="14.86328125" style="4" bestFit="1" customWidth="1"/>
    <col min="8451" max="8451" width="12.1328125" style="4" bestFit="1" customWidth="1"/>
    <col min="8452" max="8452" width="12.3984375" style="4" bestFit="1" customWidth="1"/>
    <col min="8453" max="8454" width="13.86328125" style="4" bestFit="1" customWidth="1"/>
    <col min="8455" max="8455" width="14.86328125" style="4" bestFit="1" customWidth="1"/>
    <col min="8456" max="8694" width="9.1328125" style="4"/>
    <col min="8695" max="8695" width="15.3984375" style="4" bestFit="1" customWidth="1"/>
    <col min="8696" max="8696" width="11.1328125" style="4" bestFit="1" customWidth="1"/>
    <col min="8697" max="8697" width="14.59765625" style="4" bestFit="1" customWidth="1"/>
    <col min="8698" max="8698" width="17.3984375" style="4" bestFit="1" customWidth="1"/>
    <col min="8699" max="8699" width="17.59765625" style="4" bestFit="1" customWidth="1"/>
    <col min="8700" max="8700" width="14.73046875" style="4" bestFit="1" customWidth="1"/>
    <col min="8701" max="8701" width="14.3984375" style="4" bestFit="1" customWidth="1"/>
    <col min="8702" max="8702" width="12.1328125" style="4" bestFit="1" customWidth="1"/>
    <col min="8703" max="8703" width="12.3984375" style="4" bestFit="1" customWidth="1"/>
    <col min="8704" max="8705" width="13.86328125" style="4" bestFit="1" customWidth="1"/>
    <col min="8706" max="8706" width="14.86328125" style="4" bestFit="1" customWidth="1"/>
    <col min="8707" max="8707" width="12.1328125" style="4" bestFit="1" customWidth="1"/>
    <col min="8708" max="8708" width="12.3984375" style="4" bestFit="1" customWidth="1"/>
    <col min="8709" max="8710" width="13.86328125" style="4" bestFit="1" customWidth="1"/>
    <col min="8711" max="8711" width="14.86328125" style="4" bestFit="1" customWidth="1"/>
    <col min="8712" max="8950" width="9.1328125" style="4"/>
    <col min="8951" max="8951" width="15.3984375" style="4" bestFit="1" customWidth="1"/>
    <col min="8952" max="8952" width="11.1328125" style="4" bestFit="1" customWidth="1"/>
    <col min="8953" max="8953" width="14.59765625" style="4" bestFit="1" customWidth="1"/>
    <col min="8954" max="8954" width="17.3984375" style="4" bestFit="1" customWidth="1"/>
    <col min="8955" max="8955" width="17.59765625" style="4" bestFit="1" customWidth="1"/>
    <col min="8956" max="8956" width="14.73046875" style="4" bestFit="1" customWidth="1"/>
    <col min="8957" max="8957" width="14.3984375" style="4" bestFit="1" customWidth="1"/>
    <col min="8958" max="8958" width="12.1328125" style="4" bestFit="1" customWidth="1"/>
    <col min="8959" max="8959" width="12.3984375" style="4" bestFit="1" customWidth="1"/>
    <col min="8960" max="8961" width="13.86328125" style="4" bestFit="1" customWidth="1"/>
    <col min="8962" max="8962" width="14.86328125" style="4" bestFit="1" customWidth="1"/>
    <col min="8963" max="8963" width="12.1328125" style="4" bestFit="1" customWidth="1"/>
    <col min="8964" max="8964" width="12.3984375" style="4" bestFit="1" customWidth="1"/>
    <col min="8965" max="8966" width="13.86328125" style="4" bestFit="1" customWidth="1"/>
    <col min="8967" max="8967" width="14.86328125" style="4" bestFit="1" customWidth="1"/>
    <col min="8968" max="9206" width="9.1328125" style="4"/>
    <col min="9207" max="9207" width="15.3984375" style="4" bestFit="1" customWidth="1"/>
    <col min="9208" max="9208" width="11.1328125" style="4" bestFit="1" customWidth="1"/>
    <col min="9209" max="9209" width="14.59765625" style="4" bestFit="1" customWidth="1"/>
    <col min="9210" max="9210" width="17.3984375" style="4" bestFit="1" customWidth="1"/>
    <col min="9211" max="9211" width="17.59765625" style="4" bestFit="1" customWidth="1"/>
    <col min="9212" max="9212" width="14.73046875" style="4" bestFit="1" customWidth="1"/>
    <col min="9213" max="9213" width="14.3984375" style="4" bestFit="1" customWidth="1"/>
    <col min="9214" max="9214" width="12.1328125" style="4" bestFit="1" customWidth="1"/>
    <col min="9215" max="9215" width="12.3984375" style="4" bestFit="1" customWidth="1"/>
    <col min="9216" max="9217" width="13.86328125" style="4" bestFit="1" customWidth="1"/>
    <col min="9218" max="9218" width="14.86328125" style="4" bestFit="1" customWidth="1"/>
    <col min="9219" max="9219" width="12.1328125" style="4" bestFit="1" customWidth="1"/>
    <col min="9220" max="9220" width="12.3984375" style="4" bestFit="1" customWidth="1"/>
    <col min="9221" max="9222" width="13.86328125" style="4" bestFit="1" customWidth="1"/>
    <col min="9223" max="9223" width="14.86328125" style="4" bestFit="1" customWidth="1"/>
    <col min="9224" max="9462" width="9.1328125" style="4"/>
    <col min="9463" max="9463" width="15.3984375" style="4" bestFit="1" customWidth="1"/>
    <col min="9464" max="9464" width="11.1328125" style="4" bestFit="1" customWidth="1"/>
    <col min="9465" max="9465" width="14.59765625" style="4" bestFit="1" customWidth="1"/>
    <col min="9466" max="9466" width="17.3984375" style="4" bestFit="1" customWidth="1"/>
    <col min="9467" max="9467" width="17.59765625" style="4" bestFit="1" customWidth="1"/>
    <col min="9468" max="9468" width="14.73046875" style="4" bestFit="1" customWidth="1"/>
    <col min="9469" max="9469" width="14.3984375" style="4" bestFit="1" customWidth="1"/>
    <col min="9470" max="9470" width="12.1328125" style="4" bestFit="1" customWidth="1"/>
    <col min="9471" max="9471" width="12.3984375" style="4" bestFit="1" customWidth="1"/>
    <col min="9472" max="9473" width="13.86328125" style="4" bestFit="1" customWidth="1"/>
    <col min="9474" max="9474" width="14.86328125" style="4" bestFit="1" customWidth="1"/>
    <col min="9475" max="9475" width="12.1328125" style="4" bestFit="1" customWidth="1"/>
    <col min="9476" max="9476" width="12.3984375" style="4" bestFit="1" customWidth="1"/>
    <col min="9477" max="9478" width="13.86328125" style="4" bestFit="1" customWidth="1"/>
    <col min="9479" max="9479" width="14.86328125" style="4" bestFit="1" customWidth="1"/>
    <col min="9480" max="9718" width="9.1328125" style="4"/>
    <col min="9719" max="9719" width="15.3984375" style="4" bestFit="1" customWidth="1"/>
    <col min="9720" max="9720" width="11.1328125" style="4" bestFit="1" customWidth="1"/>
    <col min="9721" max="9721" width="14.59765625" style="4" bestFit="1" customWidth="1"/>
    <col min="9722" max="9722" width="17.3984375" style="4" bestFit="1" customWidth="1"/>
    <col min="9723" max="9723" width="17.59765625" style="4" bestFit="1" customWidth="1"/>
    <col min="9724" max="9724" width="14.73046875" style="4" bestFit="1" customWidth="1"/>
    <col min="9725" max="9725" width="14.3984375" style="4" bestFit="1" customWidth="1"/>
    <col min="9726" max="9726" width="12.1328125" style="4" bestFit="1" customWidth="1"/>
    <col min="9727" max="9727" width="12.3984375" style="4" bestFit="1" customWidth="1"/>
    <col min="9728" max="9729" width="13.86328125" style="4" bestFit="1" customWidth="1"/>
    <col min="9730" max="9730" width="14.86328125" style="4" bestFit="1" customWidth="1"/>
    <col min="9731" max="9731" width="12.1328125" style="4" bestFit="1" customWidth="1"/>
    <col min="9732" max="9732" width="12.3984375" style="4" bestFit="1" customWidth="1"/>
    <col min="9733" max="9734" width="13.86328125" style="4" bestFit="1" customWidth="1"/>
    <col min="9735" max="9735" width="14.86328125" style="4" bestFit="1" customWidth="1"/>
    <col min="9736" max="9974" width="9.1328125" style="4"/>
    <col min="9975" max="9975" width="15.3984375" style="4" bestFit="1" customWidth="1"/>
    <col min="9976" max="9976" width="11.1328125" style="4" bestFit="1" customWidth="1"/>
    <col min="9977" max="9977" width="14.59765625" style="4" bestFit="1" customWidth="1"/>
    <col min="9978" max="9978" width="17.3984375" style="4" bestFit="1" customWidth="1"/>
    <col min="9979" max="9979" width="17.59765625" style="4" bestFit="1" customWidth="1"/>
    <col min="9980" max="9980" width="14.73046875" style="4" bestFit="1" customWidth="1"/>
    <col min="9981" max="9981" width="14.3984375" style="4" bestFit="1" customWidth="1"/>
    <col min="9982" max="9982" width="12.1328125" style="4" bestFit="1" customWidth="1"/>
    <col min="9983" max="9983" width="12.3984375" style="4" bestFit="1" customWidth="1"/>
    <col min="9984" max="9985" width="13.86328125" style="4" bestFit="1" customWidth="1"/>
    <col min="9986" max="9986" width="14.86328125" style="4" bestFit="1" customWidth="1"/>
    <col min="9987" max="9987" width="12.1328125" style="4" bestFit="1" customWidth="1"/>
    <col min="9988" max="9988" width="12.3984375" style="4" bestFit="1" customWidth="1"/>
    <col min="9989" max="9990" width="13.86328125" style="4" bestFit="1" customWidth="1"/>
    <col min="9991" max="9991" width="14.86328125" style="4" bestFit="1" customWidth="1"/>
    <col min="9992" max="10230" width="9.1328125" style="4"/>
    <col min="10231" max="10231" width="15.3984375" style="4" bestFit="1" customWidth="1"/>
    <col min="10232" max="10232" width="11.1328125" style="4" bestFit="1" customWidth="1"/>
    <col min="10233" max="10233" width="14.59765625" style="4" bestFit="1" customWidth="1"/>
    <col min="10234" max="10234" width="17.3984375" style="4" bestFit="1" customWidth="1"/>
    <col min="10235" max="10235" width="17.59765625" style="4" bestFit="1" customWidth="1"/>
    <col min="10236" max="10236" width="14.73046875" style="4" bestFit="1" customWidth="1"/>
    <col min="10237" max="10237" width="14.3984375" style="4" bestFit="1" customWidth="1"/>
    <col min="10238" max="10238" width="12.1328125" style="4" bestFit="1" customWidth="1"/>
    <col min="10239" max="10239" width="12.3984375" style="4" bestFit="1" customWidth="1"/>
    <col min="10240" max="10241" width="13.86328125" style="4" bestFit="1" customWidth="1"/>
    <col min="10242" max="10242" width="14.86328125" style="4" bestFit="1" customWidth="1"/>
    <col min="10243" max="10243" width="12.1328125" style="4" bestFit="1" customWidth="1"/>
    <col min="10244" max="10244" width="12.3984375" style="4" bestFit="1" customWidth="1"/>
    <col min="10245" max="10246" width="13.86328125" style="4" bestFit="1" customWidth="1"/>
    <col min="10247" max="10247" width="14.86328125" style="4" bestFit="1" customWidth="1"/>
    <col min="10248" max="10486" width="9.1328125" style="4"/>
    <col min="10487" max="10487" width="15.3984375" style="4" bestFit="1" customWidth="1"/>
    <col min="10488" max="10488" width="11.1328125" style="4" bestFit="1" customWidth="1"/>
    <col min="10489" max="10489" width="14.59765625" style="4" bestFit="1" customWidth="1"/>
    <col min="10490" max="10490" width="17.3984375" style="4" bestFit="1" customWidth="1"/>
    <col min="10491" max="10491" width="17.59765625" style="4" bestFit="1" customWidth="1"/>
    <col min="10492" max="10492" width="14.73046875" style="4" bestFit="1" customWidth="1"/>
    <col min="10493" max="10493" width="14.3984375" style="4" bestFit="1" customWidth="1"/>
    <col min="10494" max="10494" width="12.1328125" style="4" bestFit="1" customWidth="1"/>
    <col min="10495" max="10495" width="12.3984375" style="4" bestFit="1" customWidth="1"/>
    <col min="10496" max="10497" width="13.86328125" style="4" bestFit="1" customWidth="1"/>
    <col min="10498" max="10498" width="14.86328125" style="4" bestFit="1" customWidth="1"/>
    <col min="10499" max="10499" width="12.1328125" style="4" bestFit="1" customWidth="1"/>
    <col min="10500" max="10500" width="12.3984375" style="4" bestFit="1" customWidth="1"/>
    <col min="10501" max="10502" width="13.86328125" style="4" bestFit="1" customWidth="1"/>
    <col min="10503" max="10503" width="14.86328125" style="4" bestFit="1" customWidth="1"/>
    <col min="10504" max="10742" width="9.1328125" style="4"/>
    <col min="10743" max="10743" width="15.3984375" style="4" bestFit="1" customWidth="1"/>
    <col min="10744" max="10744" width="11.1328125" style="4" bestFit="1" customWidth="1"/>
    <col min="10745" max="10745" width="14.59765625" style="4" bestFit="1" customWidth="1"/>
    <col min="10746" max="10746" width="17.3984375" style="4" bestFit="1" customWidth="1"/>
    <col min="10747" max="10747" width="17.59765625" style="4" bestFit="1" customWidth="1"/>
    <col min="10748" max="10748" width="14.73046875" style="4" bestFit="1" customWidth="1"/>
    <col min="10749" max="10749" width="14.3984375" style="4" bestFit="1" customWidth="1"/>
    <col min="10750" max="10750" width="12.1328125" style="4" bestFit="1" customWidth="1"/>
    <col min="10751" max="10751" width="12.3984375" style="4" bestFit="1" customWidth="1"/>
    <col min="10752" max="10753" width="13.86328125" style="4" bestFit="1" customWidth="1"/>
    <col min="10754" max="10754" width="14.86328125" style="4" bestFit="1" customWidth="1"/>
    <col min="10755" max="10755" width="12.1328125" style="4" bestFit="1" customWidth="1"/>
    <col min="10756" max="10756" width="12.3984375" style="4" bestFit="1" customWidth="1"/>
    <col min="10757" max="10758" width="13.86328125" style="4" bestFit="1" customWidth="1"/>
    <col min="10759" max="10759" width="14.86328125" style="4" bestFit="1" customWidth="1"/>
    <col min="10760" max="10998" width="9.1328125" style="4"/>
    <col min="10999" max="10999" width="15.3984375" style="4" bestFit="1" customWidth="1"/>
    <col min="11000" max="11000" width="11.1328125" style="4" bestFit="1" customWidth="1"/>
    <col min="11001" max="11001" width="14.59765625" style="4" bestFit="1" customWidth="1"/>
    <col min="11002" max="11002" width="17.3984375" style="4" bestFit="1" customWidth="1"/>
    <col min="11003" max="11003" width="17.59765625" style="4" bestFit="1" customWidth="1"/>
    <col min="11004" max="11004" width="14.73046875" style="4" bestFit="1" customWidth="1"/>
    <col min="11005" max="11005" width="14.3984375" style="4" bestFit="1" customWidth="1"/>
    <col min="11006" max="11006" width="12.1328125" style="4" bestFit="1" customWidth="1"/>
    <col min="11007" max="11007" width="12.3984375" style="4" bestFit="1" customWidth="1"/>
    <col min="11008" max="11009" width="13.86328125" style="4" bestFit="1" customWidth="1"/>
    <col min="11010" max="11010" width="14.86328125" style="4" bestFit="1" customWidth="1"/>
    <col min="11011" max="11011" width="12.1328125" style="4" bestFit="1" customWidth="1"/>
    <col min="11012" max="11012" width="12.3984375" style="4" bestFit="1" customWidth="1"/>
    <col min="11013" max="11014" width="13.86328125" style="4" bestFit="1" customWidth="1"/>
    <col min="11015" max="11015" width="14.86328125" style="4" bestFit="1" customWidth="1"/>
    <col min="11016" max="11254" width="9.1328125" style="4"/>
    <col min="11255" max="11255" width="15.3984375" style="4" bestFit="1" customWidth="1"/>
    <col min="11256" max="11256" width="11.1328125" style="4" bestFit="1" customWidth="1"/>
    <col min="11257" max="11257" width="14.59765625" style="4" bestFit="1" customWidth="1"/>
    <col min="11258" max="11258" width="17.3984375" style="4" bestFit="1" customWidth="1"/>
    <col min="11259" max="11259" width="17.59765625" style="4" bestFit="1" customWidth="1"/>
    <col min="11260" max="11260" width="14.73046875" style="4" bestFit="1" customWidth="1"/>
    <col min="11261" max="11261" width="14.3984375" style="4" bestFit="1" customWidth="1"/>
    <col min="11262" max="11262" width="12.1328125" style="4" bestFit="1" customWidth="1"/>
    <col min="11263" max="11263" width="12.3984375" style="4" bestFit="1" customWidth="1"/>
    <col min="11264" max="11265" width="13.86328125" style="4" bestFit="1" customWidth="1"/>
    <col min="11266" max="11266" width="14.86328125" style="4" bestFit="1" customWidth="1"/>
    <col min="11267" max="11267" width="12.1328125" style="4" bestFit="1" customWidth="1"/>
    <col min="11268" max="11268" width="12.3984375" style="4" bestFit="1" customWidth="1"/>
    <col min="11269" max="11270" width="13.86328125" style="4" bestFit="1" customWidth="1"/>
    <col min="11271" max="11271" width="14.86328125" style="4" bestFit="1" customWidth="1"/>
    <col min="11272" max="11510" width="9.1328125" style="4"/>
    <col min="11511" max="11511" width="15.3984375" style="4" bestFit="1" customWidth="1"/>
    <col min="11512" max="11512" width="11.1328125" style="4" bestFit="1" customWidth="1"/>
    <col min="11513" max="11513" width="14.59765625" style="4" bestFit="1" customWidth="1"/>
    <col min="11514" max="11514" width="17.3984375" style="4" bestFit="1" customWidth="1"/>
    <col min="11515" max="11515" width="17.59765625" style="4" bestFit="1" customWidth="1"/>
    <col min="11516" max="11516" width="14.73046875" style="4" bestFit="1" customWidth="1"/>
    <col min="11517" max="11517" width="14.3984375" style="4" bestFit="1" customWidth="1"/>
    <col min="11518" max="11518" width="12.1328125" style="4" bestFit="1" customWidth="1"/>
    <col min="11519" max="11519" width="12.3984375" style="4" bestFit="1" customWidth="1"/>
    <col min="11520" max="11521" width="13.86328125" style="4" bestFit="1" customWidth="1"/>
    <col min="11522" max="11522" width="14.86328125" style="4" bestFit="1" customWidth="1"/>
    <col min="11523" max="11523" width="12.1328125" style="4" bestFit="1" customWidth="1"/>
    <col min="11524" max="11524" width="12.3984375" style="4" bestFit="1" customWidth="1"/>
    <col min="11525" max="11526" width="13.86328125" style="4" bestFit="1" customWidth="1"/>
    <col min="11527" max="11527" width="14.86328125" style="4" bestFit="1" customWidth="1"/>
    <col min="11528" max="11766" width="9.1328125" style="4"/>
    <col min="11767" max="11767" width="15.3984375" style="4" bestFit="1" customWidth="1"/>
    <col min="11768" max="11768" width="11.1328125" style="4" bestFit="1" customWidth="1"/>
    <col min="11769" max="11769" width="14.59765625" style="4" bestFit="1" customWidth="1"/>
    <col min="11770" max="11770" width="17.3984375" style="4" bestFit="1" customWidth="1"/>
    <col min="11771" max="11771" width="17.59765625" style="4" bestFit="1" customWidth="1"/>
    <col min="11772" max="11772" width="14.73046875" style="4" bestFit="1" customWidth="1"/>
    <col min="11773" max="11773" width="14.3984375" style="4" bestFit="1" customWidth="1"/>
    <col min="11774" max="11774" width="12.1328125" style="4" bestFit="1" customWidth="1"/>
    <col min="11775" max="11775" width="12.3984375" style="4" bestFit="1" customWidth="1"/>
    <col min="11776" max="11777" width="13.86328125" style="4" bestFit="1" customWidth="1"/>
    <col min="11778" max="11778" width="14.86328125" style="4" bestFit="1" customWidth="1"/>
    <col min="11779" max="11779" width="12.1328125" style="4" bestFit="1" customWidth="1"/>
    <col min="11780" max="11780" width="12.3984375" style="4" bestFit="1" customWidth="1"/>
    <col min="11781" max="11782" width="13.86328125" style="4" bestFit="1" customWidth="1"/>
    <col min="11783" max="11783" width="14.86328125" style="4" bestFit="1" customWidth="1"/>
    <col min="11784" max="12022" width="9.1328125" style="4"/>
    <col min="12023" max="12023" width="15.3984375" style="4" bestFit="1" customWidth="1"/>
    <col min="12024" max="12024" width="11.1328125" style="4" bestFit="1" customWidth="1"/>
    <col min="12025" max="12025" width="14.59765625" style="4" bestFit="1" customWidth="1"/>
    <col min="12026" max="12026" width="17.3984375" style="4" bestFit="1" customWidth="1"/>
    <col min="12027" max="12027" width="17.59765625" style="4" bestFit="1" customWidth="1"/>
    <col min="12028" max="12028" width="14.73046875" style="4" bestFit="1" customWidth="1"/>
    <col min="12029" max="12029" width="14.3984375" style="4" bestFit="1" customWidth="1"/>
    <col min="12030" max="12030" width="12.1328125" style="4" bestFit="1" customWidth="1"/>
    <col min="12031" max="12031" width="12.3984375" style="4" bestFit="1" customWidth="1"/>
    <col min="12032" max="12033" width="13.86328125" style="4" bestFit="1" customWidth="1"/>
    <col min="12034" max="12034" width="14.86328125" style="4" bestFit="1" customWidth="1"/>
    <col min="12035" max="12035" width="12.1328125" style="4" bestFit="1" customWidth="1"/>
    <col min="12036" max="12036" width="12.3984375" style="4" bestFit="1" customWidth="1"/>
    <col min="12037" max="12038" width="13.86328125" style="4" bestFit="1" customWidth="1"/>
    <col min="12039" max="12039" width="14.86328125" style="4" bestFit="1" customWidth="1"/>
    <col min="12040" max="12278" width="9.1328125" style="4"/>
    <col min="12279" max="12279" width="15.3984375" style="4" bestFit="1" customWidth="1"/>
    <col min="12280" max="12280" width="11.1328125" style="4" bestFit="1" customWidth="1"/>
    <col min="12281" max="12281" width="14.59765625" style="4" bestFit="1" customWidth="1"/>
    <col min="12282" max="12282" width="17.3984375" style="4" bestFit="1" customWidth="1"/>
    <col min="12283" max="12283" width="17.59765625" style="4" bestFit="1" customWidth="1"/>
    <col min="12284" max="12284" width="14.73046875" style="4" bestFit="1" customWidth="1"/>
    <col min="12285" max="12285" width="14.3984375" style="4" bestFit="1" customWidth="1"/>
    <col min="12286" max="12286" width="12.1328125" style="4" bestFit="1" customWidth="1"/>
    <col min="12287" max="12287" width="12.3984375" style="4" bestFit="1" customWidth="1"/>
    <col min="12288" max="12289" width="13.86328125" style="4" bestFit="1" customWidth="1"/>
    <col min="12290" max="12290" width="14.86328125" style="4" bestFit="1" customWidth="1"/>
    <col min="12291" max="12291" width="12.1328125" style="4" bestFit="1" customWidth="1"/>
    <col min="12292" max="12292" width="12.3984375" style="4" bestFit="1" customWidth="1"/>
    <col min="12293" max="12294" width="13.86328125" style="4" bestFit="1" customWidth="1"/>
    <col min="12295" max="12295" width="14.86328125" style="4" bestFit="1" customWidth="1"/>
    <col min="12296" max="12534" width="9.1328125" style="4"/>
    <col min="12535" max="12535" width="15.3984375" style="4" bestFit="1" customWidth="1"/>
    <col min="12536" max="12536" width="11.1328125" style="4" bestFit="1" customWidth="1"/>
    <col min="12537" max="12537" width="14.59765625" style="4" bestFit="1" customWidth="1"/>
    <col min="12538" max="12538" width="17.3984375" style="4" bestFit="1" customWidth="1"/>
    <col min="12539" max="12539" width="17.59765625" style="4" bestFit="1" customWidth="1"/>
    <col min="12540" max="12540" width="14.73046875" style="4" bestFit="1" customWidth="1"/>
    <col min="12541" max="12541" width="14.3984375" style="4" bestFit="1" customWidth="1"/>
    <col min="12542" max="12542" width="12.1328125" style="4" bestFit="1" customWidth="1"/>
    <col min="12543" max="12543" width="12.3984375" style="4" bestFit="1" customWidth="1"/>
    <col min="12544" max="12545" width="13.86328125" style="4" bestFit="1" customWidth="1"/>
    <col min="12546" max="12546" width="14.86328125" style="4" bestFit="1" customWidth="1"/>
    <col min="12547" max="12547" width="12.1328125" style="4" bestFit="1" customWidth="1"/>
    <col min="12548" max="12548" width="12.3984375" style="4" bestFit="1" customWidth="1"/>
    <col min="12549" max="12550" width="13.86328125" style="4" bestFit="1" customWidth="1"/>
    <col min="12551" max="12551" width="14.86328125" style="4" bestFit="1" customWidth="1"/>
    <col min="12552" max="12790" width="9.1328125" style="4"/>
    <col min="12791" max="12791" width="15.3984375" style="4" bestFit="1" customWidth="1"/>
    <col min="12792" max="12792" width="11.1328125" style="4" bestFit="1" customWidth="1"/>
    <col min="12793" max="12793" width="14.59765625" style="4" bestFit="1" customWidth="1"/>
    <col min="12794" max="12794" width="17.3984375" style="4" bestFit="1" customWidth="1"/>
    <col min="12795" max="12795" width="17.59765625" style="4" bestFit="1" customWidth="1"/>
    <col min="12796" max="12796" width="14.73046875" style="4" bestFit="1" customWidth="1"/>
    <col min="12797" max="12797" width="14.3984375" style="4" bestFit="1" customWidth="1"/>
    <col min="12798" max="12798" width="12.1328125" style="4" bestFit="1" customWidth="1"/>
    <col min="12799" max="12799" width="12.3984375" style="4" bestFit="1" customWidth="1"/>
    <col min="12800" max="12801" width="13.86328125" style="4" bestFit="1" customWidth="1"/>
    <col min="12802" max="12802" width="14.86328125" style="4" bestFit="1" customWidth="1"/>
    <col min="12803" max="12803" width="12.1328125" style="4" bestFit="1" customWidth="1"/>
    <col min="12804" max="12804" width="12.3984375" style="4" bestFit="1" customWidth="1"/>
    <col min="12805" max="12806" width="13.86328125" style="4" bestFit="1" customWidth="1"/>
    <col min="12807" max="12807" width="14.86328125" style="4" bestFit="1" customWidth="1"/>
    <col min="12808" max="13046" width="9.1328125" style="4"/>
    <col min="13047" max="13047" width="15.3984375" style="4" bestFit="1" customWidth="1"/>
    <col min="13048" max="13048" width="11.1328125" style="4" bestFit="1" customWidth="1"/>
    <col min="13049" max="13049" width="14.59765625" style="4" bestFit="1" customWidth="1"/>
    <col min="13050" max="13050" width="17.3984375" style="4" bestFit="1" customWidth="1"/>
    <col min="13051" max="13051" width="17.59765625" style="4" bestFit="1" customWidth="1"/>
    <col min="13052" max="13052" width="14.73046875" style="4" bestFit="1" customWidth="1"/>
    <col min="13053" max="13053" width="14.3984375" style="4" bestFit="1" customWidth="1"/>
    <col min="13054" max="13054" width="12.1328125" style="4" bestFit="1" customWidth="1"/>
    <col min="13055" max="13055" width="12.3984375" style="4" bestFit="1" customWidth="1"/>
    <col min="13056" max="13057" width="13.86328125" style="4" bestFit="1" customWidth="1"/>
    <col min="13058" max="13058" width="14.86328125" style="4" bestFit="1" customWidth="1"/>
    <col min="13059" max="13059" width="12.1328125" style="4" bestFit="1" customWidth="1"/>
    <col min="13060" max="13060" width="12.3984375" style="4" bestFit="1" customWidth="1"/>
    <col min="13061" max="13062" width="13.86328125" style="4" bestFit="1" customWidth="1"/>
    <col min="13063" max="13063" width="14.86328125" style="4" bestFit="1" customWidth="1"/>
    <col min="13064" max="13302" width="9.1328125" style="4"/>
    <col min="13303" max="13303" width="15.3984375" style="4" bestFit="1" customWidth="1"/>
    <col min="13304" max="13304" width="11.1328125" style="4" bestFit="1" customWidth="1"/>
    <col min="13305" max="13305" width="14.59765625" style="4" bestFit="1" customWidth="1"/>
    <col min="13306" max="13306" width="17.3984375" style="4" bestFit="1" customWidth="1"/>
    <col min="13307" max="13307" width="17.59765625" style="4" bestFit="1" customWidth="1"/>
    <col min="13308" max="13308" width="14.73046875" style="4" bestFit="1" customWidth="1"/>
    <col min="13309" max="13309" width="14.3984375" style="4" bestFit="1" customWidth="1"/>
    <col min="13310" max="13310" width="12.1328125" style="4" bestFit="1" customWidth="1"/>
    <col min="13311" max="13311" width="12.3984375" style="4" bestFit="1" customWidth="1"/>
    <col min="13312" max="13313" width="13.86328125" style="4" bestFit="1" customWidth="1"/>
    <col min="13314" max="13314" width="14.86328125" style="4" bestFit="1" customWidth="1"/>
    <col min="13315" max="13315" width="12.1328125" style="4" bestFit="1" customWidth="1"/>
    <col min="13316" max="13316" width="12.3984375" style="4" bestFit="1" customWidth="1"/>
    <col min="13317" max="13318" width="13.86328125" style="4" bestFit="1" customWidth="1"/>
    <col min="13319" max="13319" width="14.86328125" style="4" bestFit="1" customWidth="1"/>
    <col min="13320" max="13558" width="9.1328125" style="4"/>
    <col min="13559" max="13559" width="15.3984375" style="4" bestFit="1" customWidth="1"/>
    <col min="13560" max="13560" width="11.1328125" style="4" bestFit="1" customWidth="1"/>
    <col min="13561" max="13561" width="14.59765625" style="4" bestFit="1" customWidth="1"/>
    <col min="13562" max="13562" width="17.3984375" style="4" bestFit="1" customWidth="1"/>
    <col min="13563" max="13563" width="17.59765625" style="4" bestFit="1" customWidth="1"/>
    <col min="13564" max="13564" width="14.73046875" style="4" bestFit="1" customWidth="1"/>
    <col min="13565" max="13565" width="14.3984375" style="4" bestFit="1" customWidth="1"/>
    <col min="13566" max="13566" width="12.1328125" style="4" bestFit="1" customWidth="1"/>
    <col min="13567" max="13567" width="12.3984375" style="4" bestFit="1" customWidth="1"/>
    <col min="13568" max="13569" width="13.86328125" style="4" bestFit="1" customWidth="1"/>
    <col min="13570" max="13570" width="14.86328125" style="4" bestFit="1" customWidth="1"/>
    <col min="13571" max="13571" width="12.1328125" style="4" bestFit="1" customWidth="1"/>
    <col min="13572" max="13572" width="12.3984375" style="4" bestFit="1" customWidth="1"/>
    <col min="13573" max="13574" width="13.86328125" style="4" bestFit="1" customWidth="1"/>
    <col min="13575" max="13575" width="14.86328125" style="4" bestFit="1" customWidth="1"/>
    <col min="13576" max="13814" width="9.1328125" style="4"/>
    <col min="13815" max="13815" width="15.3984375" style="4" bestFit="1" customWidth="1"/>
    <col min="13816" max="13816" width="11.1328125" style="4" bestFit="1" customWidth="1"/>
    <col min="13817" max="13817" width="14.59765625" style="4" bestFit="1" customWidth="1"/>
    <col min="13818" max="13818" width="17.3984375" style="4" bestFit="1" customWidth="1"/>
    <col min="13819" max="13819" width="17.59765625" style="4" bestFit="1" customWidth="1"/>
    <col min="13820" max="13820" width="14.73046875" style="4" bestFit="1" customWidth="1"/>
    <col min="13821" max="13821" width="14.3984375" style="4" bestFit="1" customWidth="1"/>
    <col min="13822" max="13822" width="12.1328125" style="4" bestFit="1" customWidth="1"/>
    <col min="13823" max="13823" width="12.3984375" style="4" bestFit="1" customWidth="1"/>
    <col min="13824" max="13825" width="13.86328125" style="4" bestFit="1" customWidth="1"/>
    <col min="13826" max="13826" width="14.86328125" style="4" bestFit="1" customWidth="1"/>
    <col min="13827" max="13827" width="12.1328125" style="4" bestFit="1" customWidth="1"/>
    <col min="13828" max="13828" width="12.3984375" style="4" bestFit="1" customWidth="1"/>
    <col min="13829" max="13830" width="13.86328125" style="4" bestFit="1" customWidth="1"/>
    <col min="13831" max="13831" width="14.86328125" style="4" bestFit="1" customWidth="1"/>
    <col min="13832" max="14070" width="9.1328125" style="4"/>
    <col min="14071" max="14071" width="15.3984375" style="4" bestFit="1" customWidth="1"/>
    <col min="14072" max="14072" width="11.1328125" style="4" bestFit="1" customWidth="1"/>
    <col min="14073" max="14073" width="14.59765625" style="4" bestFit="1" customWidth="1"/>
    <col min="14074" max="14074" width="17.3984375" style="4" bestFit="1" customWidth="1"/>
    <col min="14075" max="14075" width="17.59765625" style="4" bestFit="1" customWidth="1"/>
    <col min="14076" max="14076" width="14.73046875" style="4" bestFit="1" customWidth="1"/>
    <col min="14077" max="14077" width="14.3984375" style="4" bestFit="1" customWidth="1"/>
    <col min="14078" max="14078" width="12.1328125" style="4" bestFit="1" customWidth="1"/>
    <col min="14079" max="14079" width="12.3984375" style="4" bestFit="1" customWidth="1"/>
    <col min="14080" max="14081" width="13.86328125" style="4" bestFit="1" customWidth="1"/>
    <col min="14082" max="14082" width="14.86328125" style="4" bestFit="1" customWidth="1"/>
    <col min="14083" max="14083" width="12.1328125" style="4" bestFit="1" customWidth="1"/>
    <col min="14084" max="14084" width="12.3984375" style="4" bestFit="1" customWidth="1"/>
    <col min="14085" max="14086" width="13.86328125" style="4" bestFit="1" customWidth="1"/>
    <col min="14087" max="14087" width="14.86328125" style="4" bestFit="1" customWidth="1"/>
    <col min="14088" max="14326" width="9.1328125" style="4"/>
    <col min="14327" max="14327" width="15.3984375" style="4" bestFit="1" customWidth="1"/>
    <col min="14328" max="14328" width="11.1328125" style="4" bestFit="1" customWidth="1"/>
    <col min="14329" max="14329" width="14.59765625" style="4" bestFit="1" customWidth="1"/>
    <col min="14330" max="14330" width="17.3984375" style="4" bestFit="1" customWidth="1"/>
    <col min="14331" max="14331" width="17.59765625" style="4" bestFit="1" customWidth="1"/>
    <col min="14332" max="14332" width="14.73046875" style="4" bestFit="1" customWidth="1"/>
    <col min="14333" max="14333" width="14.3984375" style="4" bestFit="1" customWidth="1"/>
    <col min="14334" max="14334" width="12.1328125" style="4" bestFit="1" customWidth="1"/>
    <col min="14335" max="14335" width="12.3984375" style="4" bestFit="1" customWidth="1"/>
    <col min="14336" max="14337" width="13.86328125" style="4" bestFit="1" customWidth="1"/>
    <col min="14338" max="14338" width="14.86328125" style="4" bestFit="1" customWidth="1"/>
    <col min="14339" max="14339" width="12.1328125" style="4" bestFit="1" customWidth="1"/>
    <col min="14340" max="14340" width="12.3984375" style="4" bestFit="1" customWidth="1"/>
    <col min="14341" max="14342" width="13.86328125" style="4" bestFit="1" customWidth="1"/>
    <col min="14343" max="14343" width="14.86328125" style="4" bestFit="1" customWidth="1"/>
    <col min="14344" max="14582" width="9.1328125" style="4"/>
    <col min="14583" max="14583" width="15.3984375" style="4" bestFit="1" customWidth="1"/>
    <col min="14584" max="14584" width="11.1328125" style="4" bestFit="1" customWidth="1"/>
    <col min="14585" max="14585" width="14.59765625" style="4" bestFit="1" customWidth="1"/>
    <col min="14586" max="14586" width="17.3984375" style="4" bestFit="1" customWidth="1"/>
    <col min="14587" max="14587" width="17.59765625" style="4" bestFit="1" customWidth="1"/>
    <col min="14588" max="14588" width="14.73046875" style="4" bestFit="1" customWidth="1"/>
    <col min="14589" max="14589" width="14.3984375" style="4" bestFit="1" customWidth="1"/>
    <col min="14590" max="14590" width="12.1328125" style="4" bestFit="1" customWidth="1"/>
    <col min="14591" max="14591" width="12.3984375" style="4" bestFit="1" customWidth="1"/>
    <col min="14592" max="14593" width="13.86328125" style="4" bestFit="1" customWidth="1"/>
    <col min="14594" max="14594" width="14.86328125" style="4" bestFit="1" customWidth="1"/>
    <col min="14595" max="14595" width="12.1328125" style="4" bestFit="1" customWidth="1"/>
    <col min="14596" max="14596" width="12.3984375" style="4" bestFit="1" customWidth="1"/>
    <col min="14597" max="14598" width="13.86328125" style="4" bestFit="1" customWidth="1"/>
    <col min="14599" max="14599" width="14.86328125" style="4" bestFit="1" customWidth="1"/>
    <col min="14600" max="14838" width="9.1328125" style="4"/>
    <col min="14839" max="14839" width="15.3984375" style="4" bestFit="1" customWidth="1"/>
    <col min="14840" max="14840" width="11.1328125" style="4" bestFit="1" customWidth="1"/>
    <col min="14841" max="14841" width="14.59765625" style="4" bestFit="1" customWidth="1"/>
    <col min="14842" max="14842" width="17.3984375" style="4" bestFit="1" customWidth="1"/>
    <col min="14843" max="14843" width="17.59765625" style="4" bestFit="1" customWidth="1"/>
    <col min="14844" max="14844" width="14.73046875" style="4" bestFit="1" customWidth="1"/>
    <col min="14845" max="14845" width="14.3984375" style="4" bestFit="1" customWidth="1"/>
    <col min="14846" max="14846" width="12.1328125" style="4" bestFit="1" customWidth="1"/>
    <col min="14847" max="14847" width="12.3984375" style="4" bestFit="1" customWidth="1"/>
    <col min="14848" max="14849" width="13.86328125" style="4" bestFit="1" customWidth="1"/>
    <col min="14850" max="14850" width="14.86328125" style="4" bestFit="1" customWidth="1"/>
    <col min="14851" max="14851" width="12.1328125" style="4" bestFit="1" customWidth="1"/>
    <col min="14852" max="14852" width="12.3984375" style="4" bestFit="1" customWidth="1"/>
    <col min="14853" max="14854" width="13.86328125" style="4" bestFit="1" customWidth="1"/>
    <col min="14855" max="14855" width="14.86328125" style="4" bestFit="1" customWidth="1"/>
    <col min="14856" max="15094" width="9.1328125" style="4"/>
    <col min="15095" max="15095" width="15.3984375" style="4" bestFit="1" customWidth="1"/>
    <col min="15096" max="15096" width="11.1328125" style="4" bestFit="1" customWidth="1"/>
    <col min="15097" max="15097" width="14.59765625" style="4" bestFit="1" customWidth="1"/>
    <col min="15098" max="15098" width="17.3984375" style="4" bestFit="1" customWidth="1"/>
    <col min="15099" max="15099" width="17.59765625" style="4" bestFit="1" customWidth="1"/>
    <col min="15100" max="15100" width="14.73046875" style="4" bestFit="1" customWidth="1"/>
    <col min="15101" max="15101" width="14.3984375" style="4" bestFit="1" customWidth="1"/>
    <col min="15102" max="15102" width="12.1328125" style="4" bestFit="1" customWidth="1"/>
    <col min="15103" max="15103" width="12.3984375" style="4" bestFit="1" customWidth="1"/>
    <col min="15104" max="15105" width="13.86328125" style="4" bestFit="1" customWidth="1"/>
    <col min="15106" max="15106" width="14.86328125" style="4" bestFit="1" customWidth="1"/>
    <col min="15107" max="15107" width="12.1328125" style="4" bestFit="1" customWidth="1"/>
    <col min="15108" max="15108" width="12.3984375" style="4" bestFit="1" customWidth="1"/>
    <col min="15109" max="15110" width="13.86328125" style="4" bestFit="1" customWidth="1"/>
    <col min="15111" max="15111" width="14.86328125" style="4" bestFit="1" customWidth="1"/>
    <col min="15112" max="15350" width="9.1328125" style="4"/>
    <col min="15351" max="15351" width="15.3984375" style="4" bestFit="1" customWidth="1"/>
    <col min="15352" max="15352" width="11.1328125" style="4" bestFit="1" customWidth="1"/>
    <col min="15353" max="15353" width="14.59765625" style="4" bestFit="1" customWidth="1"/>
    <col min="15354" max="15354" width="17.3984375" style="4" bestFit="1" customWidth="1"/>
    <col min="15355" max="15355" width="17.59765625" style="4" bestFit="1" customWidth="1"/>
    <col min="15356" max="15356" width="14.73046875" style="4" bestFit="1" customWidth="1"/>
    <col min="15357" max="15357" width="14.3984375" style="4" bestFit="1" customWidth="1"/>
    <col min="15358" max="15358" width="12.1328125" style="4" bestFit="1" customWidth="1"/>
    <col min="15359" max="15359" width="12.3984375" style="4" bestFit="1" customWidth="1"/>
    <col min="15360" max="15361" width="13.86328125" style="4" bestFit="1" customWidth="1"/>
    <col min="15362" max="15362" width="14.86328125" style="4" bestFit="1" customWidth="1"/>
    <col min="15363" max="15363" width="12.1328125" style="4" bestFit="1" customWidth="1"/>
    <col min="15364" max="15364" width="12.3984375" style="4" bestFit="1" customWidth="1"/>
    <col min="15365" max="15366" width="13.86328125" style="4" bestFit="1" customWidth="1"/>
    <col min="15367" max="15367" width="14.86328125" style="4" bestFit="1" customWidth="1"/>
    <col min="15368" max="15606" width="9.1328125" style="4"/>
    <col min="15607" max="15607" width="15.3984375" style="4" bestFit="1" customWidth="1"/>
    <col min="15608" max="15608" width="11.1328125" style="4" bestFit="1" customWidth="1"/>
    <col min="15609" max="15609" width="14.59765625" style="4" bestFit="1" customWidth="1"/>
    <col min="15610" max="15610" width="17.3984375" style="4" bestFit="1" customWidth="1"/>
    <col min="15611" max="15611" width="17.59765625" style="4" bestFit="1" customWidth="1"/>
    <col min="15612" max="15612" width="14.73046875" style="4" bestFit="1" customWidth="1"/>
    <col min="15613" max="15613" width="14.3984375" style="4" bestFit="1" customWidth="1"/>
    <col min="15614" max="15614" width="12.1328125" style="4" bestFit="1" customWidth="1"/>
    <col min="15615" max="15615" width="12.3984375" style="4" bestFit="1" customWidth="1"/>
    <col min="15616" max="15617" width="13.86328125" style="4" bestFit="1" customWidth="1"/>
    <col min="15618" max="15618" width="14.86328125" style="4" bestFit="1" customWidth="1"/>
    <col min="15619" max="15619" width="12.1328125" style="4" bestFit="1" customWidth="1"/>
    <col min="15620" max="15620" width="12.3984375" style="4" bestFit="1" customWidth="1"/>
    <col min="15621" max="15622" width="13.86328125" style="4" bestFit="1" customWidth="1"/>
    <col min="15623" max="15623" width="14.86328125" style="4" bestFit="1" customWidth="1"/>
    <col min="15624" max="15862" width="9.1328125" style="4"/>
    <col min="15863" max="15863" width="15.3984375" style="4" bestFit="1" customWidth="1"/>
    <col min="15864" max="15864" width="11.1328125" style="4" bestFit="1" customWidth="1"/>
    <col min="15865" max="15865" width="14.59765625" style="4" bestFit="1" customWidth="1"/>
    <col min="15866" max="15866" width="17.3984375" style="4" bestFit="1" customWidth="1"/>
    <col min="15867" max="15867" width="17.59765625" style="4" bestFit="1" customWidth="1"/>
    <col min="15868" max="15868" width="14.73046875" style="4" bestFit="1" customWidth="1"/>
    <col min="15869" max="15869" width="14.3984375" style="4" bestFit="1" customWidth="1"/>
    <col min="15870" max="15870" width="12.1328125" style="4" bestFit="1" customWidth="1"/>
    <col min="15871" max="15871" width="12.3984375" style="4" bestFit="1" customWidth="1"/>
    <col min="15872" max="15873" width="13.86328125" style="4" bestFit="1" customWidth="1"/>
    <col min="15874" max="15874" width="14.86328125" style="4" bestFit="1" customWidth="1"/>
    <col min="15875" max="15875" width="12.1328125" style="4" bestFit="1" customWidth="1"/>
    <col min="15876" max="15876" width="12.3984375" style="4" bestFit="1" customWidth="1"/>
    <col min="15877" max="15878" width="13.86328125" style="4" bestFit="1" customWidth="1"/>
    <col min="15879" max="15879" width="14.86328125" style="4" bestFit="1" customWidth="1"/>
    <col min="15880" max="16118" width="9.1328125" style="4"/>
    <col min="16119" max="16119" width="15.3984375" style="4" bestFit="1" customWidth="1"/>
    <col min="16120" max="16120" width="11.1328125" style="4" bestFit="1" customWidth="1"/>
    <col min="16121" max="16121" width="14.59765625" style="4" bestFit="1" customWidth="1"/>
    <col min="16122" max="16122" width="17.3984375" style="4" bestFit="1" customWidth="1"/>
    <col min="16123" max="16123" width="17.59765625" style="4" bestFit="1" customWidth="1"/>
    <col min="16124" max="16124" width="14.73046875" style="4" bestFit="1" customWidth="1"/>
    <col min="16125" max="16125" width="14.3984375" style="4" bestFit="1" customWidth="1"/>
    <col min="16126" max="16126" width="12.1328125" style="4" bestFit="1" customWidth="1"/>
    <col min="16127" max="16127" width="12.3984375" style="4" bestFit="1" customWidth="1"/>
    <col min="16128" max="16129" width="13.86328125" style="4" bestFit="1" customWidth="1"/>
    <col min="16130" max="16130" width="14.86328125" style="4" bestFit="1" customWidth="1"/>
    <col min="16131" max="16131" width="12.1328125" style="4" bestFit="1" customWidth="1"/>
    <col min="16132" max="16132" width="12.3984375" style="4" bestFit="1" customWidth="1"/>
    <col min="16133" max="16134" width="13.86328125" style="4" bestFit="1" customWidth="1"/>
    <col min="16135" max="16135" width="14.86328125" style="4" bestFit="1" customWidth="1"/>
    <col min="16136" max="16384" width="9.1328125" style="4"/>
  </cols>
  <sheetData>
    <row r="1" spans="1:9">
      <c r="A1" s="57" t="s">
        <v>323</v>
      </c>
      <c r="B1" s="87" t="s">
        <v>324</v>
      </c>
      <c r="C1" s="58" t="s">
        <v>322</v>
      </c>
      <c r="D1" s="59" t="s">
        <v>250</v>
      </c>
      <c r="E1" s="59" t="s">
        <v>251</v>
      </c>
      <c r="F1" s="59" t="s">
        <v>252</v>
      </c>
      <c r="G1" s="59" t="s">
        <v>253</v>
      </c>
      <c r="H1" s="59" t="s">
        <v>255</v>
      </c>
      <c r="I1" s="59" t="s">
        <v>254</v>
      </c>
    </row>
    <row r="2" spans="1:9">
      <c r="A2" s="60" t="s">
        <v>5</v>
      </c>
      <c r="B2" s="76" t="s">
        <v>6</v>
      </c>
      <c r="C2" s="58">
        <v>5</v>
      </c>
      <c r="D2" s="61">
        <f>IFERROR((($C2*st_DL)/st_com!C2),".")</f>
        <v>23.413378030871002</v>
      </c>
      <c r="E2" s="61">
        <f>IFERROR((($C2*st_DL)/st_com!D2),".")</f>
        <v>41024.831871660972</v>
      </c>
      <c r="F2" s="61">
        <f>IFERROR((($C2*st_DL)/st_com!E2),".")</f>
        <v>443.95055606914565</v>
      </c>
      <c r="G2" s="61">
        <f>IFERROR((($C2*st_DL)/st_com!F2),".")</f>
        <v>1.6821323994377871E-2</v>
      </c>
      <c r="H2" s="61">
        <f>IFERROR((($C2*st_DL)/st_com!G2),".")</f>
        <v>467.380755424011</v>
      </c>
      <c r="I2" s="61">
        <f>IFERROR((($C2*st_DL)/st_com!H2),".")</f>
        <v>41048.262071015837</v>
      </c>
    </row>
    <row r="3" spans="1:9">
      <c r="A3" s="62" t="s">
        <v>7</v>
      </c>
      <c r="B3" s="76" t="s">
        <v>8</v>
      </c>
      <c r="C3" s="58">
        <v>5</v>
      </c>
      <c r="D3" s="61">
        <f>IFERROR((($C3*st_DL)/st_com!C3),".")</f>
        <v>123.73909632895557</v>
      </c>
      <c r="E3" s="61">
        <f>IFERROR((($C3*st_DL)/st_com!D3),".")</f>
        <v>438402.61509912228</v>
      </c>
      <c r="F3" s="61">
        <f>IFERROR((($C3*st_DL)/st_com!E3),".")</f>
        <v>4744.1775109349865</v>
      </c>
      <c r="G3" s="61">
        <f>IFERROR((($C3*st_DL)/st_com!F3),".")</f>
        <v>2.7912507184543051E-2</v>
      </c>
      <c r="H3" s="61">
        <f>IFERROR((($C3*st_DL)/st_com!G3),".")</f>
        <v>4867.9445197711275</v>
      </c>
      <c r="I3" s="61">
        <f>IFERROR((($C3*st_DL)/st_com!H3),".")</f>
        <v>438526.38210795843</v>
      </c>
    </row>
    <row r="4" spans="1:9">
      <c r="A4" s="60" t="s">
        <v>9</v>
      </c>
      <c r="B4" s="88" t="s">
        <v>6</v>
      </c>
      <c r="C4" s="58">
        <v>5</v>
      </c>
      <c r="D4" s="61" t="str">
        <f>IFERROR((($C4*st_DL)/st_com!C4),".")</f>
        <v>.</v>
      </c>
      <c r="E4" s="61" t="str">
        <f>IFERROR((($C4*st_DL)/st_com!D4),".")</f>
        <v>.</v>
      </c>
      <c r="F4" s="61" t="str">
        <f>IFERROR((($C4*st_DL)/st_com!E4),".")</f>
        <v>.</v>
      </c>
      <c r="G4" s="61">
        <f>IFERROR((($C4*st_DL)/st_com!F4),".")</f>
        <v>2.6953446331954791E-4</v>
      </c>
      <c r="H4" s="61">
        <f>IFERROR((($C4*st_DL)/st_com!G4),".")</f>
        <v>2.6953446331954791E-4</v>
      </c>
      <c r="I4" s="61">
        <f>IFERROR((($C4*st_DL)/st_com!H4),".")</f>
        <v>2.6953446331954791E-4</v>
      </c>
    </row>
    <row r="5" spans="1:9">
      <c r="A5" s="60" t="s">
        <v>10</v>
      </c>
      <c r="B5" s="88" t="s">
        <v>6</v>
      </c>
      <c r="C5" s="58">
        <v>5</v>
      </c>
      <c r="D5" s="61" t="str">
        <f>IFERROR((($C5*st_DL)/st_com!C5),".")</f>
        <v>.</v>
      </c>
      <c r="E5" s="61" t="str">
        <f>IFERROR((($C5*st_DL)/st_com!D5),".")</f>
        <v>.</v>
      </c>
      <c r="F5" s="61" t="str">
        <f>IFERROR((($C5*st_DL)/st_com!E5),".")</f>
        <v>.</v>
      </c>
      <c r="G5" s="61">
        <f>IFERROR((($C5*st_DL)/st_com!F5),".")</f>
        <v>1.4611647588106874E-4</v>
      </c>
      <c r="H5" s="61">
        <f>IFERROR((($C5*st_DL)/st_com!G5),".")</f>
        <v>1.4611647588106874E-4</v>
      </c>
      <c r="I5" s="61">
        <f>IFERROR((($C5*st_DL)/st_com!H5),".")</f>
        <v>1.4611647588106874E-4</v>
      </c>
    </row>
    <row r="6" spans="1:9">
      <c r="A6" s="60" t="s">
        <v>11</v>
      </c>
      <c r="B6" s="88" t="s">
        <v>6</v>
      </c>
      <c r="C6" s="58">
        <v>5</v>
      </c>
      <c r="D6" s="61" t="str">
        <f>IFERROR((($C6*st_DL)/st_com!C6),".")</f>
        <v>.</v>
      </c>
      <c r="E6" s="61" t="str">
        <f>IFERROR((($C6*st_DL)/st_com!D6),".")</f>
        <v>.</v>
      </c>
      <c r="F6" s="61" t="str">
        <f>IFERROR((($C6*st_DL)/st_com!E6),".")</f>
        <v>.</v>
      </c>
      <c r="G6" s="61">
        <f>IFERROR((($C6*st_DL)/st_com!F6),".")</f>
        <v>0.66425435489933082</v>
      </c>
      <c r="H6" s="61">
        <f>IFERROR((($C6*st_DL)/st_com!G6),".")</f>
        <v>0.66425435489933082</v>
      </c>
      <c r="I6" s="61">
        <f>IFERROR((($C6*st_DL)/st_com!H6),".")</f>
        <v>0.66425435489933082</v>
      </c>
    </row>
    <row r="7" spans="1:9">
      <c r="A7" s="60" t="s">
        <v>12</v>
      </c>
      <c r="B7" s="88" t="s">
        <v>6</v>
      </c>
      <c r="C7" s="58">
        <v>5</v>
      </c>
      <c r="D7" s="61">
        <f>IFERROR((($C7*st_DL)/st_com!C7),".")</f>
        <v>0.79459909897515579</v>
      </c>
      <c r="E7" s="61">
        <f>IFERROR((($C7*st_DL)/st_com!D7),".")</f>
        <v>652.46464632489131</v>
      </c>
      <c r="F7" s="61">
        <f>IFERROR((($C7*st_DL)/st_com!E7),".")</f>
        <v>7.060651545326281</v>
      </c>
      <c r="G7" s="61">
        <f>IFERROR((($C7*st_DL)/st_com!F7),".")</f>
        <v>4.1484280626788703E-2</v>
      </c>
      <c r="H7" s="61">
        <f>IFERROR((($C7*st_DL)/st_com!G7),".")</f>
        <v>7.8967349249282259</v>
      </c>
      <c r="I7" s="61">
        <f>IFERROR((($C7*st_DL)/st_com!H7),".")</f>
        <v>653.30072970449328</v>
      </c>
    </row>
    <row r="8" spans="1:9">
      <c r="A8" s="60" t="s">
        <v>13</v>
      </c>
      <c r="B8" s="88" t="s">
        <v>6</v>
      </c>
      <c r="C8" s="58">
        <v>5</v>
      </c>
      <c r="D8" s="61">
        <f>IFERROR((($C8*st_DL)/st_com!C8),".")</f>
        <v>0.12009971114280982</v>
      </c>
      <c r="E8" s="61">
        <f>IFERROR((($C8*st_DL)/st_com!D8),".")</f>
        <v>158.64722564749067</v>
      </c>
      <c r="F8" s="61">
        <f>IFERROR((($C8*st_DL)/st_com!E8),".")</f>
        <v>1.716802259308787</v>
      </c>
      <c r="G8" s="61">
        <f>IFERROR((($C8*st_DL)/st_com!F8),".")</f>
        <v>0.18891546056242309</v>
      </c>
      <c r="H8" s="61">
        <f>IFERROR((($C8*st_DL)/st_com!G8),".")</f>
        <v>2.02581743101402</v>
      </c>
      <c r="I8" s="61">
        <f>IFERROR((($C8*st_DL)/st_com!H8),".")</f>
        <v>158.95624081919593</v>
      </c>
    </row>
    <row r="9" spans="1:9">
      <c r="A9" s="60" t="s">
        <v>14</v>
      </c>
      <c r="B9" s="88" t="s">
        <v>6</v>
      </c>
      <c r="C9" s="58">
        <v>5</v>
      </c>
      <c r="D9" s="61">
        <f>IFERROR((($C9*st_DL)/st_com!C9),".")</f>
        <v>6.7935190141387367E-2</v>
      </c>
      <c r="E9" s="61">
        <f>IFERROR((($C9*st_DL)/st_com!D9),".")</f>
        <v>44.206231128269188</v>
      </c>
      <c r="F9" s="61">
        <f>IFERROR((($C9*st_DL)/st_com!E9),".")</f>
        <v>0.47837809433347245</v>
      </c>
      <c r="G9" s="61">
        <f>IFERROR((($C9*st_DL)/st_com!F9),".")</f>
        <v>1.59690656892459</v>
      </c>
      <c r="H9" s="61">
        <f>IFERROR((($C9*st_DL)/st_com!G9),".")</f>
        <v>2.14321985339945</v>
      </c>
      <c r="I9" s="61">
        <f>IFERROR((($C9*st_DL)/st_com!H9),".")</f>
        <v>45.871072887335174</v>
      </c>
    </row>
    <row r="10" spans="1:9">
      <c r="A10" s="62" t="s">
        <v>15</v>
      </c>
      <c r="B10" s="88" t="s">
        <v>8</v>
      </c>
      <c r="C10" s="58">
        <v>5</v>
      </c>
      <c r="D10" s="61">
        <f>IFERROR((($C10*st_DL)/st_com!C10),".")</f>
        <v>8.2492730885970378</v>
      </c>
      <c r="E10" s="61">
        <f>IFERROR((($C10*st_DL)/st_com!D10),".")</f>
        <v>186.35462843662989</v>
      </c>
      <c r="F10" s="61">
        <f>IFERROR((($C10*st_DL)/st_com!E10),".")</f>
        <v>2.0166381468500401</v>
      </c>
      <c r="G10" s="61">
        <f>IFERROR((($C10*st_DL)/st_com!F10),".")</f>
        <v>3.6799499852966538E-3</v>
      </c>
      <c r="H10" s="61">
        <f>IFERROR((($C10*st_DL)/st_com!G10),".")</f>
        <v>10.269591185432374</v>
      </c>
      <c r="I10" s="61">
        <f>IFERROR((($C10*st_DL)/st_com!H10),".")</f>
        <v>194.60758147521224</v>
      </c>
    </row>
    <row r="11" spans="1:9">
      <c r="A11" s="60" t="s">
        <v>16</v>
      </c>
      <c r="B11" s="88" t="s">
        <v>6</v>
      </c>
      <c r="C11" s="58">
        <v>5</v>
      </c>
      <c r="D11" s="61" t="str">
        <f>IFERROR((($C11*st_DL)/st_com!C11),".")</f>
        <v>.</v>
      </c>
      <c r="E11" s="61" t="str">
        <f>IFERROR((($C11*st_DL)/st_com!D11),".")</f>
        <v>.</v>
      </c>
      <c r="F11" s="61" t="str">
        <f>IFERROR((($C11*st_DL)/st_com!E11),".")</f>
        <v>.</v>
      </c>
      <c r="G11" s="61">
        <f>IFERROR((($C11*st_DL)/st_com!F11),".")</f>
        <v>3.2406328486550458E-2</v>
      </c>
      <c r="H11" s="61">
        <f>IFERROR((($C11*st_DL)/st_com!G11),".")</f>
        <v>3.2406328486550451E-2</v>
      </c>
      <c r="I11" s="61">
        <f>IFERROR((($C11*st_DL)/st_com!H11),".")</f>
        <v>3.2406328486550451E-2</v>
      </c>
    </row>
    <row r="12" spans="1:9">
      <c r="A12" s="60" t="s">
        <v>17</v>
      </c>
      <c r="B12" s="88" t="s">
        <v>6</v>
      </c>
      <c r="C12" s="58">
        <v>5</v>
      </c>
      <c r="D12" s="61" t="str">
        <f>IFERROR((($C12*st_DL)/st_com!C12),".")</f>
        <v>.</v>
      </c>
      <c r="E12" s="61" t="str">
        <f>IFERROR((($C12*st_DL)/st_com!D12),".")</f>
        <v>.</v>
      </c>
      <c r="F12" s="61" t="str">
        <f>IFERROR((($C12*st_DL)/st_com!E12),".")</f>
        <v>.</v>
      </c>
      <c r="G12" s="61">
        <f>IFERROR((($C12*st_DL)/st_com!F12),".")</f>
        <v>0.1745270168356127</v>
      </c>
      <c r="H12" s="61">
        <f>IFERROR((($C12*st_DL)/st_com!G12),".")</f>
        <v>0.1745270168356127</v>
      </c>
      <c r="I12" s="61">
        <f>IFERROR((($C12*st_DL)/st_com!H12),".")</f>
        <v>0.1745270168356127</v>
      </c>
    </row>
    <row r="13" spans="1:9">
      <c r="A13" s="60" t="s">
        <v>18</v>
      </c>
      <c r="B13" s="88" t="s">
        <v>6</v>
      </c>
      <c r="C13" s="58">
        <v>5</v>
      </c>
      <c r="D13" s="61">
        <f>IFERROR((($C13*st_DL)/st_com!C13),".")</f>
        <v>64.902369152932565</v>
      </c>
      <c r="E13" s="61">
        <f>IFERROR((($C13*st_DL)/st_com!D13),".")</f>
        <v>56308.59276502487</v>
      </c>
      <c r="F13" s="61">
        <f>IFERROR((($C13*st_DL)/st_com!E13),".")</f>
        <v>609.34390048706246</v>
      </c>
      <c r="G13" s="61">
        <f>IFERROR((($C13*st_DL)/st_com!F13),".")</f>
        <v>3.1364328348574166E-2</v>
      </c>
      <c r="H13" s="61">
        <f>IFERROR((($C13*st_DL)/st_com!G13),".")</f>
        <v>674.27763396834359</v>
      </c>
      <c r="I13" s="61">
        <f>IFERROR((($C13*st_DL)/st_com!H13),".")</f>
        <v>56373.526498506144</v>
      </c>
    </row>
    <row r="14" spans="1:9">
      <c r="A14" s="60" t="s">
        <v>19</v>
      </c>
      <c r="B14" s="88" t="s">
        <v>6</v>
      </c>
      <c r="C14" s="58">
        <v>5</v>
      </c>
      <c r="D14" s="61">
        <f>IFERROR((($C14*st_DL)/st_com!C14),".")</f>
        <v>0.58594101496946605</v>
      </c>
      <c r="E14" s="61">
        <f>IFERROR((($C14*st_DL)/st_com!D14),".")</f>
        <v>20.378347857818525</v>
      </c>
      <c r="F14" s="61">
        <f>IFERROR((($C14*st_DL)/st_com!E14),".")</f>
        <v>0.22052445922388927</v>
      </c>
      <c r="G14" s="61">
        <f>IFERROR((($C14*st_DL)/st_com!F14),".")</f>
        <v>0.24452994177222728</v>
      </c>
      <c r="H14" s="61">
        <f>IFERROR((($C14*st_DL)/st_com!G14),".")</f>
        <v>1.0509954159655828</v>
      </c>
      <c r="I14" s="61">
        <f>IFERROR((($C14*st_DL)/st_com!H14),".")</f>
        <v>21.208818814560217</v>
      </c>
    </row>
    <row r="15" spans="1:9">
      <c r="A15" s="60" t="s">
        <v>20</v>
      </c>
      <c r="B15" s="88" t="s">
        <v>6</v>
      </c>
      <c r="C15" s="58">
        <v>5</v>
      </c>
      <c r="D15" s="61">
        <f>IFERROR((($C15*st_DL)/st_com!C15),".")</f>
        <v>3.4392190009077353E-2</v>
      </c>
      <c r="E15" s="61">
        <f>IFERROR((($C15*st_DL)/st_com!D15),".")</f>
        <v>0.31193172817450276</v>
      </c>
      <c r="F15" s="61">
        <f>IFERROR((($C15*st_DL)/st_com!E15),".")</f>
        <v>3.3755717661902345E-3</v>
      </c>
      <c r="G15" s="61">
        <f>IFERROR((($C15*st_DL)/st_com!F15),".")</f>
        <v>3.7288924644848743E-3</v>
      </c>
      <c r="H15" s="61">
        <f>IFERROR((($C15*st_DL)/st_com!G15),".")</f>
        <v>4.1496654239752462E-2</v>
      </c>
      <c r="I15" s="61">
        <f>IFERROR((($C15*st_DL)/st_com!H15),".")</f>
        <v>0.35005281064806504</v>
      </c>
    </row>
    <row r="16" spans="1:9">
      <c r="A16" s="62" t="s">
        <v>21</v>
      </c>
      <c r="B16" s="88" t="s">
        <v>6</v>
      </c>
      <c r="C16" s="58">
        <v>5</v>
      </c>
      <c r="D16" s="61">
        <f>IFERROR((($C16*st_DL)/st_com!C16),".")</f>
        <v>422.16868159290721</v>
      </c>
      <c r="E16" s="61">
        <f>IFERROR((($C16*st_DL)/st_com!D16),".")</f>
        <v>26947.68368040476</v>
      </c>
      <c r="F16" s="61">
        <f>IFERROR((($C16*st_DL)/st_com!E16),".")</f>
        <v>291.61458094737992</v>
      </c>
      <c r="G16" s="61">
        <f>IFERROR((($C16*st_DL)/st_com!F16),".")</f>
        <v>2.8184244681059472E-3</v>
      </c>
      <c r="H16" s="61">
        <f>IFERROR((($C16*st_DL)/st_com!G16),".")</f>
        <v>713.78608096475523</v>
      </c>
      <c r="I16" s="61">
        <f>IFERROR((($C16*st_DL)/st_com!H16),".")</f>
        <v>27369.855180422135</v>
      </c>
    </row>
    <row r="17" spans="1:9">
      <c r="A17" s="60" t="s">
        <v>22</v>
      </c>
      <c r="B17" s="88" t="s">
        <v>6</v>
      </c>
      <c r="C17" s="58">
        <v>5</v>
      </c>
      <c r="D17" s="61">
        <f>IFERROR((($C17*st_DL)/st_com!C17),".")</f>
        <v>8.4312423479043247E-2</v>
      </c>
      <c r="E17" s="61">
        <f>IFERROR((($C17*st_DL)/st_com!D17),".")</f>
        <v>56.28443635457225</v>
      </c>
      <c r="F17" s="61">
        <f>IFERROR((($C17*st_DL)/st_com!E17),".")</f>
        <v>0.60908249169234463</v>
      </c>
      <c r="G17" s="61">
        <f>IFERROR((($C17*st_DL)/st_com!F17),".")</f>
        <v>0.284582358755331</v>
      </c>
      <c r="H17" s="61">
        <f>IFERROR((($C17*st_DL)/st_com!G17),".")</f>
        <v>0.97797727392671885</v>
      </c>
      <c r="I17" s="61">
        <f>IFERROR((($C17*st_DL)/st_com!H17),".")</f>
        <v>56.653331136806628</v>
      </c>
    </row>
    <row r="18" spans="1:9">
      <c r="A18" s="60" t="s">
        <v>23</v>
      </c>
      <c r="B18" s="88" t="s">
        <v>6</v>
      </c>
      <c r="C18" s="58">
        <v>5</v>
      </c>
      <c r="D18" s="61">
        <f>IFERROR((($C18*st_DL)/st_com!C18),".")</f>
        <v>733.94267920605989</v>
      </c>
      <c r="E18" s="61">
        <f>IFERROR((($C18*st_DL)/st_com!D18),".")</f>
        <v>20914.620169866383</v>
      </c>
      <c r="F18" s="61">
        <f>IFERROR((($C18*st_DL)/st_com!E18),".")</f>
        <v>226.32773446662324</v>
      </c>
      <c r="G18" s="61">
        <f>IFERROR((($C18*st_DL)/st_com!F18),".")</f>
        <v>1.0554287487219529E-5</v>
      </c>
      <c r="H18" s="61">
        <f>IFERROR((($C18*st_DL)/st_com!G18),".")</f>
        <v>960.27042422697059</v>
      </c>
      <c r="I18" s="61">
        <f>IFERROR((($C18*st_DL)/st_com!H18),".")</f>
        <v>21648.562859626731</v>
      </c>
    </row>
    <row r="19" spans="1:9">
      <c r="A19" s="60" t="s">
        <v>24</v>
      </c>
      <c r="B19" s="88" t="s">
        <v>6</v>
      </c>
      <c r="C19" s="58">
        <v>5</v>
      </c>
      <c r="D19" s="61" t="str">
        <f>IFERROR((($C19*st_DL)/st_com!C19),".")</f>
        <v>.</v>
      </c>
      <c r="E19" s="61" t="str">
        <f>IFERROR((($C19*st_DL)/st_com!D19),".")</f>
        <v>.</v>
      </c>
      <c r="F19" s="61" t="str">
        <f>IFERROR((($C19*st_DL)/st_com!E19),".")</f>
        <v>.</v>
      </c>
      <c r="G19" s="61">
        <f>IFERROR((($C19*st_DL)/st_com!F19),".")</f>
        <v>4.0799463370179968E-5</v>
      </c>
      <c r="H19" s="61">
        <f>IFERROR((($C19*st_DL)/st_com!G19),".")</f>
        <v>4.0799463370179968E-5</v>
      </c>
      <c r="I19" s="61">
        <f>IFERROR((($C19*st_DL)/st_com!H19),".")</f>
        <v>4.0799463370179968E-5</v>
      </c>
    </row>
    <row r="20" spans="1:9">
      <c r="A20" s="60" t="s">
        <v>25</v>
      </c>
      <c r="B20" s="88" t="s">
        <v>6</v>
      </c>
      <c r="C20" s="58">
        <v>5</v>
      </c>
      <c r="D20" s="61" t="str">
        <f>IFERROR((($C20*st_DL)/st_com!C20),".")</f>
        <v>.</v>
      </c>
      <c r="E20" s="61" t="str">
        <f>IFERROR((($C20*st_DL)/st_com!D20),".")</f>
        <v>.</v>
      </c>
      <c r="F20" s="61" t="str">
        <f>IFERROR((($C20*st_DL)/st_com!E20),".")</f>
        <v>.</v>
      </c>
      <c r="G20" s="61">
        <f>IFERROR((($C20*st_DL)/st_com!F20),".")</f>
        <v>8.9869637727912121E-5</v>
      </c>
      <c r="H20" s="61">
        <f>IFERROR((($C20*st_DL)/st_com!G20),".")</f>
        <v>8.9869637727912121E-5</v>
      </c>
      <c r="I20" s="61">
        <f>IFERROR((($C20*st_DL)/st_com!H20),".")</f>
        <v>8.9869637727912121E-5</v>
      </c>
    </row>
    <row r="21" spans="1:9">
      <c r="A21" s="60" t="s">
        <v>26</v>
      </c>
      <c r="B21" s="88" t="s">
        <v>6</v>
      </c>
      <c r="C21" s="58">
        <v>5</v>
      </c>
      <c r="D21" s="61" t="str">
        <f>IFERROR((($C21*st_DL)/st_com!C21),".")</f>
        <v>.</v>
      </c>
      <c r="E21" s="61">
        <f>IFERROR((($C21*st_DL)/st_com!D21),".")</f>
        <v>9.2035923824429293</v>
      </c>
      <c r="F21" s="61">
        <f>IFERROR((($C21*st_DL)/st_com!E21),".")</f>
        <v>9.959675078746065E-2</v>
      </c>
      <c r="G21" s="61">
        <f>IFERROR((($C21*st_DL)/st_com!F21),".")</f>
        <v>7.7733965168728568E-9</v>
      </c>
      <c r="H21" s="61">
        <f>IFERROR((($C21*st_DL)/st_com!G21),".")</f>
        <v>9.959675856085716E-2</v>
      </c>
      <c r="I21" s="61">
        <f>IFERROR((($C21*st_DL)/st_com!H21),".")</f>
        <v>9.2035923902163272</v>
      </c>
    </row>
    <row r="22" spans="1:9">
      <c r="A22" s="60" t="s">
        <v>27</v>
      </c>
      <c r="B22" s="88" t="s">
        <v>6</v>
      </c>
      <c r="C22" s="58">
        <v>5</v>
      </c>
      <c r="D22" s="61">
        <f>IFERROR((($C22*st_DL)/st_com!C22),".")</f>
        <v>60.413794090019479</v>
      </c>
      <c r="E22" s="61">
        <f>IFERROR((($C22*st_DL)/st_com!D22),".")</f>
        <v>37583.751202687228</v>
      </c>
      <c r="F22" s="61">
        <f>IFERROR((($C22*st_DL)/st_com!E22),".")</f>
        <v>406.71287326160274</v>
      </c>
      <c r="G22" s="61">
        <f>IFERROR((($C22*st_DL)/st_com!F22),".")</f>
        <v>1.4108109122313667E-2</v>
      </c>
      <c r="H22" s="61">
        <f>IFERROR((($C22*st_DL)/st_com!G22),".")</f>
        <v>467.14077546074452</v>
      </c>
      <c r="I22" s="61">
        <f>IFERROR((($C22*st_DL)/st_com!H22),".")</f>
        <v>37644.179104886367</v>
      </c>
    </row>
    <row r="23" spans="1:9">
      <c r="A23" s="62" t="s">
        <v>28</v>
      </c>
      <c r="B23" s="88" t="s">
        <v>8</v>
      </c>
      <c r="C23" s="58">
        <v>5</v>
      </c>
      <c r="D23" s="61">
        <f>IFERROR((($C23*st_DL)/st_com!C23),".")</f>
        <v>169.83797535346841</v>
      </c>
      <c r="E23" s="61">
        <f>IFERROR((($C23*st_DL)/st_com!D23),".")</f>
        <v>46030.040117440956</v>
      </c>
      <c r="F23" s="61">
        <f>IFERROR((($C23*st_DL)/st_com!E23),".")</f>
        <v>498.11445833466217</v>
      </c>
      <c r="G23" s="61">
        <f>IFERROR((($C23*st_DL)/st_com!F23),".")</f>
        <v>8.0507691743912316E-3</v>
      </c>
      <c r="H23" s="61">
        <f>IFERROR((($C23*st_DL)/st_com!G23),".")</f>
        <v>667.96048445730503</v>
      </c>
      <c r="I23" s="61">
        <f>IFERROR((($C23*st_DL)/st_com!H23),".")</f>
        <v>46199.886143563599</v>
      </c>
    </row>
    <row r="24" spans="1:9">
      <c r="A24" s="60" t="s">
        <v>29</v>
      </c>
      <c r="B24" s="88" t="s">
        <v>6</v>
      </c>
      <c r="C24" s="58">
        <v>5</v>
      </c>
      <c r="D24" s="61" t="str">
        <f>IFERROR((($C24*st_DL)/st_com!C24),".")</f>
        <v>.</v>
      </c>
      <c r="E24" s="61" t="str">
        <f>IFERROR((($C24*st_DL)/st_com!D24),".")</f>
        <v>.</v>
      </c>
      <c r="F24" s="61" t="str">
        <f>IFERROR((($C24*st_DL)/st_com!E24),".")</f>
        <v>.</v>
      </c>
      <c r="G24" s="61">
        <f>IFERROR((($C24*st_DL)/st_com!F24),".")</f>
        <v>8.3321327681041538E-4</v>
      </c>
      <c r="H24" s="61">
        <f>IFERROR((($C24*st_DL)/st_com!G24),".")</f>
        <v>8.3321327681041527E-4</v>
      </c>
      <c r="I24" s="61">
        <f>IFERROR((($C24*st_DL)/st_com!H24),".")</f>
        <v>8.3321327681041527E-4</v>
      </c>
    </row>
    <row r="25" spans="1:9">
      <c r="A25" s="62" t="s">
        <v>30</v>
      </c>
      <c r="B25" s="88" t="s">
        <v>8</v>
      </c>
      <c r="C25" s="58">
        <v>5</v>
      </c>
      <c r="D25" s="61" t="str">
        <f>IFERROR((($C25*st_DL)/st_com!C25),".")</f>
        <v>.</v>
      </c>
      <c r="E25" s="61">
        <f>IFERROR((($C25*st_DL)/st_com!D25),".")</f>
        <v>7.9112244232285045</v>
      </c>
      <c r="F25" s="61">
        <f>IFERROR((($C25*st_DL)/st_com!E25),".")</f>
        <v>8.5611380270061335E-2</v>
      </c>
      <c r="G25" s="61">
        <f>IFERROR((($C25*st_DL)/st_com!F25),".")</f>
        <v>4.2580163852730271E-4</v>
      </c>
      <c r="H25" s="61">
        <f>IFERROR((($C25*st_DL)/st_com!G25),".")</f>
        <v>8.6037181908588625E-2</v>
      </c>
      <c r="I25" s="61">
        <f>IFERROR((($C25*st_DL)/st_com!H25),".")</f>
        <v>7.9116502248670324</v>
      </c>
    </row>
    <row r="26" spans="1:9">
      <c r="A26" s="60" t="s">
        <v>31</v>
      </c>
      <c r="B26" s="88" t="s">
        <v>6</v>
      </c>
      <c r="C26" s="58">
        <v>5</v>
      </c>
      <c r="D26" s="61">
        <f>IFERROR((($C26*st_DL)/st_com!C26),".")</f>
        <v>302.67553464778831</v>
      </c>
      <c r="E26" s="61">
        <f>IFERROR((($C26*st_DL)/st_com!D26),".")</f>
        <v>337404.66299677594</v>
      </c>
      <c r="F26" s="61">
        <f>IFERROR((($C26*st_DL)/st_com!E26),".")</f>
        <v>3651.2273402200967</v>
      </c>
      <c r="G26" s="61">
        <f>IFERROR((($C26*st_DL)/st_com!F26),".")</f>
        <v>9.8180280921932428E-2</v>
      </c>
      <c r="H26" s="61">
        <f>IFERROR((($C26*st_DL)/st_com!G26),".")</f>
        <v>3954.0010551488072</v>
      </c>
      <c r="I26" s="61">
        <f>IFERROR((($C26*st_DL)/st_com!H26),".")</f>
        <v>337707.43671170471</v>
      </c>
    </row>
    <row r="27" spans="1:9">
      <c r="A27" s="60" t="s">
        <v>32</v>
      </c>
      <c r="B27" s="88" t="s">
        <v>6</v>
      </c>
      <c r="C27" s="58">
        <v>5</v>
      </c>
      <c r="D27" s="61" t="str">
        <f>IFERROR((($C27*st_DL)/st_com!C27),".")</f>
        <v>.</v>
      </c>
      <c r="E27" s="61" t="str">
        <f>IFERROR((($C27*st_DL)/st_com!D27),".")</f>
        <v>.</v>
      </c>
      <c r="F27" s="61" t="str">
        <f>IFERROR((($C27*st_DL)/st_com!E27),".")</f>
        <v>.</v>
      </c>
      <c r="G27" s="61">
        <f>IFERROR((($C27*st_DL)/st_com!F27),".")</f>
        <v>7.487939981383461E-2</v>
      </c>
      <c r="H27" s="61">
        <f>IFERROR((($C27*st_DL)/st_com!G27),".")</f>
        <v>7.487939981383461E-2</v>
      </c>
      <c r="I27" s="61">
        <f>IFERROR((($C27*st_DL)/st_com!H27),".")</f>
        <v>7.487939981383461E-2</v>
      </c>
    </row>
    <row r="28" spans="1:9">
      <c r="A28" s="60" t="s">
        <v>33</v>
      </c>
      <c r="B28" s="88" t="s">
        <v>6</v>
      </c>
      <c r="C28" s="58">
        <v>5</v>
      </c>
      <c r="D28" s="61" t="str">
        <f>IFERROR((($C28*st_DL)/st_com!C28),".")</f>
        <v>.</v>
      </c>
      <c r="E28" s="61" t="str">
        <f>IFERROR((($C28*st_DL)/st_com!D28),".")</f>
        <v>.</v>
      </c>
      <c r="F28" s="61" t="str">
        <f>IFERROR((($C28*st_DL)/st_com!E28),".")</f>
        <v>.</v>
      </c>
      <c r="G28" s="61">
        <f>IFERROR((($C28*st_DL)/st_com!F28),".")</f>
        <v>2.2766798556014445</v>
      </c>
      <c r="H28" s="61">
        <f>IFERROR((($C28*st_DL)/st_com!G28),".")</f>
        <v>2.2766798556014445</v>
      </c>
      <c r="I28" s="61">
        <f>IFERROR((($C28*st_DL)/st_com!H28),".")</f>
        <v>2.2766798556014445</v>
      </c>
    </row>
    <row r="29" spans="1:9">
      <c r="A29" s="60" t="s">
        <v>34</v>
      </c>
      <c r="B29" s="88" t="s">
        <v>6</v>
      </c>
      <c r="C29" s="58">
        <v>5</v>
      </c>
      <c r="D29" s="61" t="str">
        <f>IFERROR((($C29*st_DL)/st_com!C29),".")</f>
        <v>.</v>
      </c>
      <c r="E29" s="61" t="str">
        <f>IFERROR((($C29*st_DL)/st_com!D29),".")</f>
        <v>.</v>
      </c>
      <c r="F29" s="61" t="str">
        <f>IFERROR((($C29*st_DL)/st_com!E29),".")</f>
        <v>.</v>
      </c>
      <c r="G29" s="61">
        <f>IFERROR((($C29*st_DL)/st_com!F29),".")</f>
        <v>2.9934549979444345</v>
      </c>
      <c r="H29" s="61">
        <f>IFERROR((($C29*st_DL)/st_com!G29),".")</f>
        <v>2.9934549979444345</v>
      </c>
      <c r="I29" s="61">
        <f>IFERROR((($C29*st_DL)/st_com!H29),".")</f>
        <v>2.9934549979444345</v>
      </c>
    </row>
    <row r="30" spans="1:9">
      <c r="A30" s="60" t="s">
        <v>35</v>
      </c>
      <c r="B30" s="88" t="s">
        <v>6</v>
      </c>
      <c r="C30" s="58">
        <v>5</v>
      </c>
      <c r="D30" s="61">
        <f>IFERROR((($C30*st_DL)/st_com!C30),".")</f>
        <v>31.056086921777084</v>
      </c>
      <c r="E30" s="61">
        <f>IFERROR((($C30*st_DL)/st_com!D30),".")</f>
        <v>46030.040117440956</v>
      </c>
      <c r="F30" s="61">
        <f>IFERROR((($C30*st_DL)/st_com!E30),".")</f>
        <v>498.11445833466217</v>
      </c>
      <c r="G30" s="61">
        <f>IFERROR((($C30*st_DL)/st_com!F30),".")</f>
        <v>6.1823504461678874E-4</v>
      </c>
      <c r="H30" s="61">
        <f>IFERROR((($C30*st_DL)/st_com!G30),".")</f>
        <v>529.17116349148387</v>
      </c>
      <c r="I30" s="61">
        <f>IFERROR((($C30*st_DL)/st_com!H30),".")</f>
        <v>46061.096822597778</v>
      </c>
    </row>
    <row r="31" spans="1:9">
      <c r="A31" s="63" t="s">
        <v>7</v>
      </c>
      <c r="B31" s="82" t="s">
        <v>6</v>
      </c>
      <c r="C31" s="58">
        <v>5</v>
      </c>
      <c r="D31" s="64">
        <f>SUM(D32:D44)</f>
        <v>606.94067354943718</v>
      </c>
      <c r="E31" s="64">
        <f t="shared" ref="E31:I31" si="0">SUM(E32:E44)</f>
        <v>956933.81248284678</v>
      </c>
      <c r="F31" s="64">
        <f t="shared" si="0"/>
        <v>10355.467135176514</v>
      </c>
      <c r="G31" s="64">
        <f t="shared" si="0"/>
        <v>0.70644866607296752</v>
      </c>
      <c r="H31" s="64">
        <f t="shared" si="0"/>
        <v>10963.114257392022</v>
      </c>
      <c r="I31" s="64">
        <f t="shared" si="0"/>
        <v>957541.4596050625</v>
      </c>
    </row>
    <row r="32" spans="1:9">
      <c r="A32" s="65" t="s">
        <v>390</v>
      </c>
      <c r="B32" s="89">
        <v>1</v>
      </c>
      <c r="C32" s="58">
        <v>5</v>
      </c>
      <c r="D32" s="61">
        <f>IFERROR((($C32*st_DL)/st_com!C32),0)</f>
        <v>123.73909632895557</v>
      </c>
      <c r="E32" s="61">
        <f>IFERROR((($C32*st_DL)/st_com!D32),0)</f>
        <v>438402.61509912228</v>
      </c>
      <c r="F32" s="61">
        <f>IFERROR((($C32*st_DL)/st_com!E32),0)</f>
        <v>4744.1775109349865</v>
      </c>
      <c r="G32" s="61">
        <f>IFERROR((($C32*st_DL)/st_com!F32),0)</f>
        <v>2.7912507184543051E-2</v>
      </c>
      <c r="H32" s="61">
        <f>IFERROR((($C32*st_DL)/st_com!G32),0)</f>
        <v>4867.9445197711275</v>
      </c>
      <c r="I32" s="61">
        <f>IFERROR((($C32*st_DL)/st_com!H32),0)</f>
        <v>438526.38210795843</v>
      </c>
    </row>
    <row r="33" spans="1:9">
      <c r="A33" s="65" t="s">
        <v>391</v>
      </c>
      <c r="B33" s="89">
        <v>1</v>
      </c>
      <c r="C33" s="58">
        <v>5</v>
      </c>
      <c r="D33" s="61">
        <f>IFERROR((($C33*st_DL)/st_com!C33),0)</f>
        <v>64.902369152932565</v>
      </c>
      <c r="E33" s="61">
        <f>IFERROR((($C33*st_DL)/st_com!D33),0)</f>
        <v>56308.59276502487</v>
      </c>
      <c r="F33" s="61">
        <f>IFERROR((($C33*st_DL)/st_com!E33),0)</f>
        <v>609.34390048706246</v>
      </c>
      <c r="G33" s="61">
        <f>IFERROR((($C33*st_DL)/st_com!F33),0)</f>
        <v>3.1364328348574166E-2</v>
      </c>
      <c r="H33" s="61">
        <f>IFERROR((($C33*st_DL)/st_com!G33),0)</f>
        <v>674.27763396834359</v>
      </c>
      <c r="I33" s="61">
        <f>IFERROR((($C33*st_DL)/st_com!H33),0)</f>
        <v>56373.526498506144</v>
      </c>
    </row>
    <row r="34" spans="1:9">
      <c r="A34" s="65" t="s">
        <v>392</v>
      </c>
      <c r="B34" s="89">
        <v>1</v>
      </c>
      <c r="C34" s="58">
        <v>5</v>
      </c>
      <c r="D34" s="61">
        <f>IFERROR((($C34*st_DL)/st_com!C34),0)</f>
        <v>0.58594101496946605</v>
      </c>
      <c r="E34" s="61">
        <f>IFERROR((($C34*st_DL)/st_com!D34),0)</f>
        <v>20.378347857818525</v>
      </c>
      <c r="F34" s="61">
        <f>IFERROR((($C34*st_DL)/st_com!E34),0)</f>
        <v>0.22052445922388927</v>
      </c>
      <c r="G34" s="61">
        <f>IFERROR((($C34*st_DL)/st_com!F34),0)</f>
        <v>0.24452994177222728</v>
      </c>
      <c r="H34" s="61">
        <f>IFERROR((($C34*st_DL)/st_com!G34),0)</f>
        <v>1.0509954159655828</v>
      </c>
      <c r="I34" s="61">
        <f>IFERROR((($C34*st_DL)/st_com!H34),0)</f>
        <v>21.208818814560217</v>
      </c>
    </row>
    <row r="35" spans="1:9">
      <c r="A35" s="65" t="s">
        <v>393</v>
      </c>
      <c r="B35" s="89">
        <v>1</v>
      </c>
      <c r="C35" s="58">
        <v>5</v>
      </c>
      <c r="D35" s="61">
        <f>IFERROR((($C35*st_DL)/st_com!C35),0)</f>
        <v>31.056086921777084</v>
      </c>
      <c r="E35" s="61">
        <f>IFERROR((($C35*st_DL)/st_com!D35),0)</f>
        <v>46030.040117440956</v>
      </c>
      <c r="F35" s="61">
        <f>IFERROR((($C35*st_DL)/st_com!E35),0)</f>
        <v>498.11445833466217</v>
      </c>
      <c r="G35" s="61">
        <f>IFERROR((($C35*st_DL)/st_com!F35),0)</f>
        <v>6.1823504461678874E-4</v>
      </c>
      <c r="H35" s="61">
        <f>IFERROR((($C35*st_DL)/st_com!G35),0)</f>
        <v>529.17116349148387</v>
      </c>
      <c r="I35" s="61">
        <f>IFERROR((($C35*st_DL)/st_com!H35),0)</f>
        <v>46061.096822597778</v>
      </c>
    </row>
    <row r="36" spans="1:9">
      <c r="A36" s="65" t="s">
        <v>394</v>
      </c>
      <c r="B36" s="89">
        <v>1</v>
      </c>
      <c r="C36" s="58">
        <v>5</v>
      </c>
      <c r="D36" s="61">
        <f>IFERROR((($C36*st_DL)/st_com!C36),0)</f>
        <v>302.67553464778831</v>
      </c>
      <c r="E36" s="61">
        <f>IFERROR((($C36*st_DL)/st_com!D36),0)</f>
        <v>337404.66299677594</v>
      </c>
      <c r="F36" s="61">
        <f>IFERROR((($C36*st_DL)/st_com!E36),0)</f>
        <v>3651.2273402200967</v>
      </c>
      <c r="G36" s="61">
        <f>IFERROR((($C36*st_DL)/st_com!F36),0)</f>
        <v>9.8180280921932428E-2</v>
      </c>
      <c r="H36" s="61">
        <f>IFERROR((($C36*st_DL)/st_com!G36),0)</f>
        <v>3954.0010551488072</v>
      </c>
      <c r="I36" s="61">
        <f>IFERROR((($C36*st_DL)/st_com!H36),0)</f>
        <v>337707.43671170471</v>
      </c>
    </row>
    <row r="37" spans="1:9">
      <c r="A37" s="65" t="s">
        <v>395</v>
      </c>
      <c r="B37" s="89">
        <v>1</v>
      </c>
      <c r="C37" s="58">
        <v>5</v>
      </c>
      <c r="D37" s="61">
        <f>IFERROR((($C37*st_DL)/st_com!C37),0)</f>
        <v>60.413794090019479</v>
      </c>
      <c r="E37" s="61">
        <f>IFERROR((($C37*st_DL)/st_com!D37),0)</f>
        <v>37583.751202687228</v>
      </c>
      <c r="F37" s="61">
        <f>IFERROR((($C37*st_DL)/st_com!E37),0)</f>
        <v>406.71287326160274</v>
      </c>
      <c r="G37" s="61">
        <f>IFERROR((($C37*st_DL)/st_com!F37),0)</f>
        <v>1.4108109122313667E-2</v>
      </c>
      <c r="H37" s="61">
        <f>IFERROR((($C37*st_DL)/st_com!G37),0)</f>
        <v>467.14077546074452</v>
      </c>
      <c r="I37" s="61">
        <f>IFERROR((($C37*st_DL)/st_com!H37),0)</f>
        <v>37644.179104886367</v>
      </c>
    </row>
    <row r="38" spans="1:9">
      <c r="A38" s="65" t="s">
        <v>396</v>
      </c>
      <c r="B38" s="89">
        <v>1</v>
      </c>
      <c r="C38" s="58">
        <v>5</v>
      </c>
      <c r="D38" s="61">
        <f>IFERROR((($C38*st_DL)/st_com!C38),0)</f>
        <v>23.413378030871002</v>
      </c>
      <c r="E38" s="61">
        <f>IFERROR((($C38*st_DL)/st_com!D38),0)</f>
        <v>41024.831871660972</v>
      </c>
      <c r="F38" s="61">
        <f>IFERROR((($C38*st_DL)/st_com!E38),0)</f>
        <v>443.95055606914565</v>
      </c>
      <c r="G38" s="61">
        <f>IFERROR((($C38*st_DL)/st_com!F38),0)</f>
        <v>1.6821323994377871E-2</v>
      </c>
      <c r="H38" s="61">
        <f>IFERROR((($C38*st_DL)/st_com!G38),0)</f>
        <v>467.380755424011</v>
      </c>
      <c r="I38" s="61">
        <f>IFERROR((($C38*st_DL)/st_com!H38),0)</f>
        <v>41048.262071015837</v>
      </c>
    </row>
    <row r="39" spans="1:9">
      <c r="A39" s="65" t="s">
        <v>397</v>
      </c>
      <c r="B39" s="89">
        <v>1</v>
      </c>
      <c r="C39" s="58">
        <v>5</v>
      </c>
      <c r="D39" s="61">
        <f>IFERROR((($C39*st_DL)/st_com!C39),0)</f>
        <v>0</v>
      </c>
      <c r="E39" s="61">
        <f>IFERROR((($C39*st_DL)/st_com!D39),0)</f>
        <v>0</v>
      </c>
      <c r="F39" s="61">
        <f>IFERROR((($C39*st_DL)/st_com!E39),0)</f>
        <v>0</v>
      </c>
      <c r="G39" s="61">
        <f>IFERROR((($C39*st_DL)/st_com!F39),0)</f>
        <v>3.2406328486550458E-2</v>
      </c>
      <c r="H39" s="61">
        <f>IFERROR((($C39*st_DL)/st_com!G39),0)</f>
        <v>3.2406328486550451E-2</v>
      </c>
      <c r="I39" s="61">
        <f>IFERROR((($C39*st_DL)/st_com!H39),0)</f>
        <v>3.2406328486550451E-2</v>
      </c>
    </row>
    <row r="40" spans="1:9">
      <c r="A40" s="65" t="s">
        <v>398</v>
      </c>
      <c r="B40" s="89">
        <v>1</v>
      </c>
      <c r="C40" s="58">
        <v>5</v>
      </c>
      <c r="D40" s="61">
        <f>IFERROR((($C40*st_DL)/st_com!C40),0)</f>
        <v>0</v>
      </c>
      <c r="E40" s="61">
        <f>IFERROR((($C40*st_DL)/st_com!D40),0)</f>
        <v>0</v>
      </c>
      <c r="F40" s="61">
        <f>IFERROR((($C40*st_DL)/st_com!E40),0)</f>
        <v>0</v>
      </c>
      <c r="G40" s="61">
        <f>IFERROR((($C40*st_DL)/st_com!F40),0)</f>
        <v>2.6953446331954791E-4</v>
      </c>
      <c r="H40" s="61">
        <f>IFERROR((($C40*st_DL)/st_com!G40),0)</f>
        <v>2.6953446331954791E-4</v>
      </c>
      <c r="I40" s="61">
        <f>IFERROR((($C40*st_DL)/st_com!H40),0)</f>
        <v>2.6953446331954791E-4</v>
      </c>
    </row>
    <row r="41" spans="1:9">
      <c r="A41" s="65" t="s">
        <v>399</v>
      </c>
      <c r="B41" s="90">
        <v>0.99987999999999999</v>
      </c>
      <c r="C41" s="58">
        <v>5</v>
      </c>
      <c r="D41" s="61">
        <f>IFERROR((($C41*st_DL)/st_com!C41),0)</f>
        <v>0.12008529917747267</v>
      </c>
      <c r="E41" s="61">
        <f>IFERROR((($C41*st_DL)/st_com!D41),0)</f>
        <v>158.62818798041297</v>
      </c>
      <c r="F41" s="61">
        <f>IFERROR((($C41*st_DL)/st_com!E41),0)</f>
        <v>1.71659624303767</v>
      </c>
      <c r="G41" s="61">
        <f>IFERROR((($C41*st_DL)/st_com!F41),0)</f>
        <v>0.18889279070715559</v>
      </c>
      <c r="H41" s="61">
        <f>IFERROR((($C41*st_DL)/st_com!G41),0)</f>
        <v>2.0255743329222984</v>
      </c>
      <c r="I41" s="61">
        <f>IFERROR((($C41*st_DL)/st_com!H41),0)</f>
        <v>158.93716607029759</v>
      </c>
    </row>
    <row r="42" spans="1:9">
      <c r="A42" s="65" t="s">
        <v>400</v>
      </c>
      <c r="B42" s="89">
        <v>0.97898250799999997</v>
      </c>
      <c r="C42" s="58">
        <v>5</v>
      </c>
      <c r="D42" s="61">
        <f>IFERROR((($C42*st_DL)/st_com!C42),0)</f>
        <v>0</v>
      </c>
      <c r="E42" s="61">
        <f>IFERROR((($C42*st_DL)/st_com!D42),0)</f>
        <v>0</v>
      </c>
      <c r="F42" s="61">
        <f>IFERROR((($C42*st_DL)/st_com!E42),0)</f>
        <v>0</v>
      </c>
      <c r="G42" s="61">
        <f>IFERROR((($C42*st_DL)/st_com!F42),0)</f>
        <v>3.994196097519291E-5</v>
      </c>
      <c r="H42" s="61">
        <f>IFERROR((($C42*st_DL)/st_com!G42),0)</f>
        <v>3.994196097519291E-5</v>
      </c>
      <c r="I42" s="61">
        <f>IFERROR((($C42*st_DL)/st_com!H42),0)</f>
        <v>3.994196097519291E-5</v>
      </c>
    </row>
    <row r="43" spans="1:9">
      <c r="A43" s="65" t="s">
        <v>401</v>
      </c>
      <c r="B43" s="89">
        <v>2.0897492E-2</v>
      </c>
      <c r="C43" s="58">
        <v>5</v>
      </c>
      <c r="D43" s="61">
        <f>IFERROR((($C43*st_DL)/st_com!C43),0)</f>
        <v>0</v>
      </c>
      <c r="E43" s="61">
        <f>IFERROR((($C43*st_DL)/st_com!D43),0)</f>
        <v>0</v>
      </c>
      <c r="F43" s="61">
        <f>IFERROR((($C43*st_DL)/st_com!E43),0)</f>
        <v>0</v>
      </c>
      <c r="G43" s="61">
        <f>IFERROR((($C43*st_DL)/st_com!F43),0)</f>
        <v>4.7576899068992332E-2</v>
      </c>
      <c r="H43" s="61">
        <f>IFERROR((($C43*st_DL)/st_com!G43),0)</f>
        <v>4.7576899068992332E-2</v>
      </c>
      <c r="I43" s="61">
        <f>IFERROR((($C43*st_DL)/st_com!H43),0)</f>
        <v>4.7576899068992332E-2</v>
      </c>
    </row>
    <row r="44" spans="1:9">
      <c r="A44" s="65" t="s">
        <v>402</v>
      </c>
      <c r="B44" s="89">
        <v>0.99987999999999999</v>
      </c>
      <c r="C44" s="58">
        <v>5</v>
      </c>
      <c r="D44" s="61">
        <f>IFERROR((($C44*st_DL)/st_com!C44),0)</f>
        <v>3.4388062946276256E-2</v>
      </c>
      <c r="E44" s="61">
        <f>IFERROR((($C44*st_DL)/st_com!D44),0)</f>
        <v>0.31189429636712185</v>
      </c>
      <c r="F44" s="61">
        <f>IFERROR((($C44*st_DL)/st_com!E44),0)</f>
        <v>3.3751666975782918E-3</v>
      </c>
      <c r="G44" s="61">
        <f>IFERROR((($C44*st_DL)/st_com!F44),0)</f>
        <v>3.7284449973891362E-3</v>
      </c>
      <c r="H44" s="61">
        <f>IFERROR((($C44*st_DL)/st_com!G44),0)</f>
        <v>4.1491674641243689E-2</v>
      </c>
      <c r="I44" s="61">
        <f>IFERROR((($C44*st_DL)/st_com!H44),0)</f>
        <v>0.35001080431078724</v>
      </c>
    </row>
    <row r="45" spans="1:9">
      <c r="A45" s="63" t="s">
        <v>15</v>
      </c>
      <c r="B45" s="82" t="s">
        <v>6</v>
      </c>
      <c r="C45" s="58">
        <v>5</v>
      </c>
      <c r="D45" s="64">
        <f>SUM(D46:D47)</f>
        <v>8.2492730885970378</v>
      </c>
      <c r="E45" s="64">
        <f t="shared" ref="E45:I45" si="1">SUM(E46:E47)</f>
        <v>186.35462843662989</v>
      </c>
      <c r="F45" s="64">
        <f t="shared" si="1"/>
        <v>2.0166381468500401</v>
      </c>
      <c r="G45" s="64">
        <f t="shared" si="1"/>
        <v>0.63072941846671593</v>
      </c>
      <c r="H45" s="64">
        <f t="shared" si="1"/>
        <v>10.896640653913792</v>
      </c>
      <c r="I45" s="64">
        <f t="shared" si="1"/>
        <v>195.23463094369367</v>
      </c>
    </row>
    <row r="46" spans="1:9">
      <c r="A46" s="65" t="s">
        <v>403</v>
      </c>
      <c r="B46" s="89">
        <v>1</v>
      </c>
      <c r="C46" s="58">
        <v>5</v>
      </c>
      <c r="D46" s="61">
        <f>IFERROR((($C46*st_DL)/st_com!C46),0)</f>
        <v>8.2492730885970378</v>
      </c>
      <c r="E46" s="61">
        <f>IFERROR((($C46*st_DL)/st_com!D46),0)</f>
        <v>186.35462843662989</v>
      </c>
      <c r="F46" s="61">
        <f>IFERROR((($C46*st_DL)/st_com!E46),0)</f>
        <v>2.0166381468500401</v>
      </c>
      <c r="G46" s="61">
        <f>IFERROR((($C46*st_DL)/st_com!F46),0)</f>
        <v>3.6799499852966538E-3</v>
      </c>
      <c r="H46" s="61">
        <f>IFERROR((($C46*st_DL)/st_com!G46),0)</f>
        <v>10.269591185432374</v>
      </c>
      <c r="I46" s="61">
        <f>IFERROR((($C46*st_DL)/st_com!H46),0)</f>
        <v>194.60758147521224</v>
      </c>
    </row>
    <row r="47" spans="1:9">
      <c r="A47" s="65" t="s">
        <v>404</v>
      </c>
      <c r="B47" s="89">
        <v>0.94399</v>
      </c>
      <c r="C47" s="58">
        <v>5</v>
      </c>
      <c r="D47" s="61">
        <f>IFERROR((($C47*st_DL)/st_com!C47),0)</f>
        <v>0</v>
      </c>
      <c r="E47" s="61">
        <f>IFERROR((($C47*st_DL)/st_com!D47),0)</f>
        <v>0</v>
      </c>
      <c r="F47" s="61">
        <f>IFERROR((($C47*st_DL)/st_com!E47),0)</f>
        <v>0</v>
      </c>
      <c r="G47" s="61">
        <f>IFERROR((($C47*st_DL)/st_com!F47),0)</f>
        <v>0.62704946848141929</v>
      </c>
      <c r="H47" s="61">
        <f>IFERROR((($C47*st_DL)/st_com!G47),0)</f>
        <v>0.62704946848141929</v>
      </c>
      <c r="I47" s="61">
        <f>IFERROR((($C47*st_DL)/st_com!H47),0)</f>
        <v>0.62704946848141929</v>
      </c>
    </row>
    <row r="48" spans="1:9">
      <c r="A48" s="63" t="s">
        <v>28</v>
      </c>
      <c r="B48" s="82" t="s">
        <v>6</v>
      </c>
      <c r="C48" s="58">
        <v>5</v>
      </c>
      <c r="D48" s="64">
        <f>SUM(D49:D62)</f>
        <v>1326.8961659889594</v>
      </c>
      <c r="E48" s="64">
        <f t="shared" ref="E48:I48" si="2">SUM(E49:E62)</f>
        <v>94662.402832596985</v>
      </c>
      <c r="F48" s="64">
        <f t="shared" si="2"/>
        <v>1024.3899720989009</v>
      </c>
      <c r="G48" s="64">
        <f t="shared" si="2"/>
        <v>1.9349401389539718</v>
      </c>
      <c r="H48" s="64">
        <f t="shared" si="2"/>
        <v>2353.2210782268148</v>
      </c>
      <c r="I48" s="64">
        <f t="shared" si="2"/>
        <v>95991.233938724894</v>
      </c>
    </row>
    <row r="49" spans="1:9">
      <c r="A49" s="65" t="s">
        <v>405</v>
      </c>
      <c r="B49" s="89">
        <v>1</v>
      </c>
      <c r="C49" s="58">
        <v>5</v>
      </c>
      <c r="D49" s="61">
        <f>IFERROR((($C49*st_DL)/st_com!C49),0)</f>
        <v>169.83797535346841</v>
      </c>
      <c r="E49" s="61">
        <f>IFERROR((($C49*st_DL)/st_com!D49),0)</f>
        <v>46030.040117440956</v>
      </c>
      <c r="F49" s="61">
        <f>IFERROR((($C49*st_DL)/st_com!E49),0)</f>
        <v>498.11445833466217</v>
      </c>
      <c r="G49" s="61">
        <f>IFERROR((($C49*st_DL)/st_com!F49),0)</f>
        <v>8.0507691743912316E-3</v>
      </c>
      <c r="H49" s="61">
        <f>IFERROR((($C49*st_DL)/st_com!G49),0)</f>
        <v>667.96048445730503</v>
      </c>
      <c r="I49" s="61">
        <f>IFERROR((($C49*st_DL)/st_com!H49),0)</f>
        <v>46199.886143563599</v>
      </c>
    </row>
    <row r="50" spans="1:9">
      <c r="A50" s="65" t="s">
        <v>406</v>
      </c>
      <c r="B50" s="89">
        <v>1</v>
      </c>
      <c r="C50" s="58">
        <v>5</v>
      </c>
      <c r="D50" s="61">
        <f>IFERROR((($C50*st_DL)/st_com!C50),0)</f>
        <v>0</v>
      </c>
      <c r="E50" s="61">
        <f>IFERROR((($C50*st_DL)/st_com!D50),0)</f>
        <v>7.9112244232285045</v>
      </c>
      <c r="F50" s="61">
        <f>IFERROR((($C50*st_DL)/st_com!E50),0)</f>
        <v>8.5611380270061335E-2</v>
      </c>
      <c r="G50" s="61">
        <f>IFERROR((($C50*st_DL)/st_com!F50),0)</f>
        <v>4.2580163852730271E-4</v>
      </c>
      <c r="H50" s="61">
        <f>IFERROR((($C50*st_DL)/st_com!G50),0)</f>
        <v>8.6037181908588625E-2</v>
      </c>
      <c r="I50" s="61">
        <f>IFERROR((($C50*st_DL)/st_com!H50),0)</f>
        <v>7.9116502248670324</v>
      </c>
    </row>
    <row r="51" spans="1:9">
      <c r="A51" s="65" t="s">
        <v>407</v>
      </c>
      <c r="B51" s="89">
        <v>1</v>
      </c>
      <c r="C51" s="58">
        <v>5</v>
      </c>
      <c r="D51" s="61">
        <f>IFERROR((($C51*st_DL)/st_com!C51),0)</f>
        <v>0</v>
      </c>
      <c r="E51" s="61">
        <f>IFERROR((($C51*st_DL)/st_com!D51),0)</f>
        <v>9.2035923824429293</v>
      </c>
      <c r="F51" s="61">
        <f>IFERROR((($C51*st_DL)/st_com!E51),0)</f>
        <v>9.959675078746065E-2</v>
      </c>
      <c r="G51" s="61">
        <f>IFERROR((($C51*st_DL)/st_com!F51),0)</f>
        <v>7.7733965168728568E-9</v>
      </c>
      <c r="H51" s="61">
        <f>IFERROR((($C51*st_DL)/st_com!G51),0)</f>
        <v>9.959675856085716E-2</v>
      </c>
      <c r="I51" s="61">
        <f>IFERROR((($C51*st_DL)/st_com!H51),0)</f>
        <v>9.2035923902163272</v>
      </c>
    </row>
    <row r="52" spans="1:9">
      <c r="A52" s="65" t="s">
        <v>408</v>
      </c>
      <c r="B52" s="89">
        <v>0.99980000000000002</v>
      </c>
      <c r="C52" s="58">
        <v>5</v>
      </c>
      <c r="D52" s="61">
        <f>IFERROR((($C52*st_DL)/st_com!C52),0)</f>
        <v>8.4295560994347443E-2</v>
      </c>
      <c r="E52" s="61">
        <f>IFERROR((($C52*st_DL)/st_com!D52),0)</f>
        <v>56.27317946730134</v>
      </c>
      <c r="F52" s="61">
        <f>IFERROR((($C52*st_DL)/st_com!E52),0)</f>
        <v>0.60896067519400621</v>
      </c>
      <c r="G52" s="61">
        <f>IFERROR((($C52*st_DL)/st_com!F52),0)</f>
        <v>0.2845254422835799</v>
      </c>
      <c r="H52" s="61">
        <f>IFERROR((($C52*st_DL)/st_com!G52),0)</f>
        <v>0.97778167847193342</v>
      </c>
      <c r="I52" s="61">
        <f>IFERROR((($C52*st_DL)/st_com!H52),0)</f>
        <v>56.642000470579262</v>
      </c>
    </row>
    <row r="53" spans="1:9">
      <c r="A53" s="65" t="s">
        <v>409</v>
      </c>
      <c r="B53" s="89">
        <v>2.0000000000000001E-4</v>
      </c>
      <c r="C53" s="58">
        <v>5</v>
      </c>
      <c r="D53" s="61">
        <f>IFERROR((($C53*st_DL)/st_com!C53),0)</f>
        <v>0</v>
      </c>
      <c r="E53" s="61">
        <f>IFERROR((($C53*st_DL)/st_com!D53),0)</f>
        <v>0</v>
      </c>
      <c r="F53" s="61">
        <f>IFERROR((($C53*st_DL)/st_com!E53),0)</f>
        <v>0</v>
      </c>
      <c r="G53" s="61">
        <f>IFERROR((($C53*st_DL)/st_com!F53),0)</f>
        <v>2.9223295176213751E-8</v>
      </c>
      <c r="H53" s="61">
        <f>IFERROR((($C53*st_DL)/st_com!G53),0)</f>
        <v>2.9223295176213754E-8</v>
      </c>
      <c r="I53" s="61">
        <f>IFERROR((($C53*st_DL)/st_com!H53),0)</f>
        <v>2.9223295176213754E-8</v>
      </c>
    </row>
    <row r="54" spans="1:9">
      <c r="A54" s="65" t="s">
        <v>410</v>
      </c>
      <c r="B54" s="89">
        <v>0.99999979999999999</v>
      </c>
      <c r="C54" s="58">
        <v>5</v>
      </c>
      <c r="D54" s="61">
        <f>IFERROR((($C54*st_DL)/st_com!C54),0)</f>
        <v>6.793517655434933E-2</v>
      </c>
      <c r="E54" s="61">
        <f>IFERROR((($C54*st_DL)/st_com!D54),0)</f>
        <v>44.20622228702296</v>
      </c>
      <c r="F54" s="61">
        <f>IFERROR((($C54*st_DL)/st_com!E54),0)</f>
        <v>0.47837799865785363</v>
      </c>
      <c r="G54" s="61">
        <f>IFERROR((($C54*st_DL)/st_com!F54),0)</f>
        <v>1.5969062495432764</v>
      </c>
      <c r="H54" s="61">
        <f>IFERROR((($C54*st_DL)/st_com!G54),0)</f>
        <v>2.143219424755479</v>
      </c>
      <c r="I54" s="61">
        <f>IFERROR((($C54*st_DL)/st_com!H54),0)</f>
        <v>45.871063713120591</v>
      </c>
    </row>
    <row r="55" spans="1:9">
      <c r="A55" s="65" t="s">
        <v>411</v>
      </c>
      <c r="B55" s="89">
        <v>1.9999999999999999E-7</v>
      </c>
      <c r="C55" s="58">
        <v>5</v>
      </c>
      <c r="D55" s="61">
        <f>IFERROR((($C55*st_DL)/st_com!C55),0)</f>
        <v>0</v>
      </c>
      <c r="E55" s="61">
        <f>IFERROR((($C55*st_DL)/st_com!D55),0)</f>
        <v>0</v>
      </c>
      <c r="F55" s="61">
        <f>IFERROR((($C55*st_DL)/st_com!E55),0)</f>
        <v>0</v>
      </c>
      <c r="G55" s="61">
        <f>IFERROR((($C55*st_DL)/st_com!F55),0)</f>
        <v>1.6664265536208306E-10</v>
      </c>
      <c r="H55" s="61">
        <f>IFERROR((($C55*st_DL)/st_com!G55),0)</f>
        <v>1.6664265536208306E-10</v>
      </c>
      <c r="I55" s="61">
        <f>IFERROR((($C55*st_DL)/st_com!H55),0)</f>
        <v>1.6664265536208306E-10</v>
      </c>
    </row>
    <row r="56" spans="1:9">
      <c r="A56" s="65" t="s">
        <v>412</v>
      </c>
      <c r="B56" s="89">
        <v>0.99979000004200003</v>
      </c>
      <c r="C56" s="58">
        <v>5</v>
      </c>
      <c r="D56" s="61">
        <f>IFERROR((($C56*st_DL)/st_com!C56),0)</f>
        <v>0</v>
      </c>
      <c r="E56" s="61">
        <f>IFERROR((($C56*st_DL)/st_com!D56),0)</f>
        <v>0</v>
      </c>
      <c r="F56" s="61">
        <f>IFERROR((($C56*st_DL)/st_com!E56),0)</f>
        <v>0</v>
      </c>
      <c r="G56" s="61">
        <f>IFERROR((($C56*st_DL)/st_com!F56),0)</f>
        <v>8.9850765107763782E-5</v>
      </c>
      <c r="H56" s="61">
        <f>IFERROR((($C56*st_DL)/st_com!G56),0)</f>
        <v>8.9850765107763782E-5</v>
      </c>
      <c r="I56" s="61">
        <f>IFERROR((($C56*st_DL)/st_com!H56),0)</f>
        <v>8.9850765107763782E-5</v>
      </c>
    </row>
    <row r="57" spans="1:9">
      <c r="A57" s="65" t="s">
        <v>413</v>
      </c>
      <c r="B57" s="89">
        <v>2.0999995799999999E-4</v>
      </c>
      <c r="C57" s="58">
        <v>5</v>
      </c>
      <c r="D57" s="61">
        <f>IFERROR((($C57*st_DL)/st_com!C57),0)</f>
        <v>0</v>
      </c>
      <c r="E57" s="61">
        <f>IFERROR((($C57*st_DL)/st_com!D57),0)</f>
        <v>0</v>
      </c>
      <c r="F57" s="61">
        <f>IFERROR((($C57*st_DL)/st_com!E57),0)</f>
        <v>0</v>
      </c>
      <c r="G57" s="61">
        <f>IFERROR((($C57*st_DL)/st_com!F57),0)</f>
        <v>6.2862542384322132E-4</v>
      </c>
      <c r="H57" s="61">
        <f>IFERROR((($C57*st_DL)/st_com!G57),0)</f>
        <v>6.2862542384322132E-4</v>
      </c>
      <c r="I57" s="61">
        <f>IFERROR((($C57*st_DL)/st_com!H57),0)</f>
        <v>6.2862542384322132E-4</v>
      </c>
    </row>
    <row r="58" spans="1:9">
      <c r="A58" s="65" t="s">
        <v>414</v>
      </c>
      <c r="B58" s="89">
        <v>1</v>
      </c>
      <c r="C58" s="58">
        <v>5</v>
      </c>
      <c r="D58" s="61">
        <f>IFERROR((($C58*st_DL)/st_com!C58),0)</f>
        <v>422.16868159290721</v>
      </c>
      <c r="E58" s="61">
        <f>IFERROR((($C58*st_DL)/st_com!D58),0)</f>
        <v>26947.68368040476</v>
      </c>
      <c r="F58" s="61">
        <f>IFERROR((($C58*st_DL)/st_com!E58),0)</f>
        <v>291.61458094737992</v>
      </c>
      <c r="G58" s="61">
        <f>IFERROR((($C58*st_DL)/st_com!F58),0)</f>
        <v>2.8184244681059472E-3</v>
      </c>
      <c r="H58" s="61">
        <f>IFERROR((($C58*st_DL)/st_com!G58),0)</f>
        <v>713.78608096475523</v>
      </c>
      <c r="I58" s="61">
        <f>IFERROR((($C58*st_DL)/st_com!H58),0)</f>
        <v>27369.855180422135</v>
      </c>
    </row>
    <row r="59" spans="1:9">
      <c r="A59" s="65" t="s">
        <v>415</v>
      </c>
      <c r="B59" s="89">
        <v>1</v>
      </c>
      <c r="C59" s="58">
        <v>5</v>
      </c>
      <c r="D59" s="61">
        <f>IFERROR((($C59*st_DL)/st_com!C59),0)</f>
        <v>0.79459909897515579</v>
      </c>
      <c r="E59" s="61">
        <f>IFERROR((($C59*st_DL)/st_com!D59),0)</f>
        <v>652.46464632489131</v>
      </c>
      <c r="F59" s="61">
        <f>IFERROR((($C59*st_DL)/st_com!E59),0)</f>
        <v>7.060651545326281</v>
      </c>
      <c r="G59" s="61">
        <f>IFERROR((($C59*st_DL)/st_com!F59),0)</f>
        <v>4.1484280626788703E-2</v>
      </c>
      <c r="H59" s="61">
        <f>IFERROR((($C59*st_DL)/st_com!G59),0)</f>
        <v>7.8967349249282259</v>
      </c>
      <c r="I59" s="61">
        <f>IFERROR((($C59*st_DL)/st_com!H59),0)</f>
        <v>653.30072970449328</v>
      </c>
    </row>
    <row r="60" spans="1:9">
      <c r="A60" s="65" t="s">
        <v>416</v>
      </c>
      <c r="B60" s="91">
        <v>1.9000000000000001E-8</v>
      </c>
      <c r="C60" s="58">
        <v>5</v>
      </c>
      <c r="D60" s="61">
        <f>IFERROR((($C60*st_DL)/st_com!C60),0)</f>
        <v>0</v>
      </c>
      <c r="E60" s="61">
        <f>IFERROR((($C60*st_DL)/st_com!D60),0)</f>
        <v>0</v>
      </c>
      <c r="F60" s="61">
        <f>IFERROR((($C60*st_DL)/st_com!E60),0)</f>
        <v>0</v>
      </c>
      <c r="G60" s="61">
        <f>IFERROR((($C60*st_DL)/st_com!F60),0)</f>
        <v>3.3160133198766416E-9</v>
      </c>
      <c r="H60" s="61">
        <f>IFERROR((($C60*st_DL)/st_com!G60),0)</f>
        <v>3.3160133198766416E-9</v>
      </c>
      <c r="I60" s="61">
        <f>IFERROR((($C60*st_DL)/st_com!H60),0)</f>
        <v>3.3160133198766416E-9</v>
      </c>
    </row>
    <row r="61" spans="1:9">
      <c r="A61" s="65" t="s">
        <v>417</v>
      </c>
      <c r="B61" s="89">
        <v>1</v>
      </c>
      <c r="C61" s="58">
        <v>5</v>
      </c>
      <c r="D61" s="61">
        <f>IFERROR((($C61*st_DL)/st_com!C61),0)</f>
        <v>733.94267920605989</v>
      </c>
      <c r="E61" s="61">
        <f>IFERROR((($C61*st_DL)/st_com!D61),0)</f>
        <v>20914.620169866383</v>
      </c>
      <c r="F61" s="61">
        <f>IFERROR((($C61*st_DL)/st_com!E61),0)</f>
        <v>226.32773446662324</v>
      </c>
      <c r="G61" s="61">
        <f>IFERROR((($C61*st_DL)/st_com!F61),0)</f>
        <v>1.0554287487219529E-5</v>
      </c>
      <c r="H61" s="61">
        <f>IFERROR((($C61*st_DL)/st_com!G61),0)</f>
        <v>960.27042422697059</v>
      </c>
      <c r="I61" s="61">
        <f>IFERROR((($C61*st_DL)/st_com!H61),0)</f>
        <v>21648.562859626731</v>
      </c>
    </row>
    <row r="62" spans="1:9">
      <c r="A62" s="65" t="s">
        <v>418</v>
      </c>
      <c r="B62" s="89">
        <v>1.339E-6</v>
      </c>
      <c r="C62" s="58">
        <v>5</v>
      </c>
      <c r="D62" s="61">
        <f>IFERROR((($C62*st_DL)/st_com!C62),0)</f>
        <v>0</v>
      </c>
      <c r="E62" s="61">
        <f>IFERROR((($C62*st_DL)/st_com!D62),0)</f>
        <v>0</v>
      </c>
      <c r="F62" s="61">
        <f>IFERROR((($C62*st_DL)/st_com!E62),0)</f>
        <v>0</v>
      </c>
      <c r="G62" s="61">
        <f>IFERROR((($C62*st_DL)/st_com!F62),0)</f>
        <v>1.0026351635072455E-7</v>
      </c>
      <c r="H62" s="61">
        <f>IFERROR((($C62*st_DL)/st_com!G62),0)</f>
        <v>1.0026351635072455E-7</v>
      </c>
      <c r="I62" s="61">
        <f>IFERROR((($C62*st_DL)/st_com!H62),0)</f>
        <v>1.0026351635072455E-7</v>
      </c>
    </row>
    <row r="63" spans="1:9">
      <c r="A63" s="63" t="s">
        <v>30</v>
      </c>
      <c r="B63" s="82" t="s">
        <v>6</v>
      </c>
      <c r="C63" s="58">
        <v>5</v>
      </c>
      <c r="D63" s="64">
        <f>SUM(D64:D76)</f>
        <v>1157.058190635491</v>
      </c>
      <c r="E63" s="64">
        <f t="shared" ref="E63:I63" si="3">SUM(E64:E76)</f>
        <v>48632.362715156029</v>
      </c>
      <c r="F63" s="64">
        <f t="shared" si="3"/>
        <v>526.27551376423878</v>
      </c>
      <c r="G63" s="64">
        <f t="shared" si="3"/>
        <v>1.9268893697795806</v>
      </c>
      <c r="H63" s="64">
        <f t="shared" si="3"/>
        <v>1685.2605937695093</v>
      </c>
      <c r="I63" s="64">
        <f t="shared" si="3"/>
        <v>49791.347795161302</v>
      </c>
    </row>
    <row r="64" spans="1:9">
      <c r="A64" s="65" t="s">
        <v>406</v>
      </c>
      <c r="B64" s="89">
        <v>1</v>
      </c>
      <c r="C64" s="58">
        <v>5</v>
      </c>
      <c r="D64" s="61">
        <f>IFERROR((($C64*st_DL)/st_com!C64),0)</f>
        <v>0</v>
      </c>
      <c r="E64" s="61">
        <f>IFERROR((($C64*st_DL)/st_com!D64),0)</f>
        <v>7.9112244232285045</v>
      </c>
      <c r="F64" s="61">
        <f>IFERROR((($C64*st_DL)/st_com!E64),0)</f>
        <v>8.5611380270061335E-2</v>
      </c>
      <c r="G64" s="61">
        <f>IFERROR((($C64*st_DL)/st_com!F64),0)</f>
        <v>4.2580163852730271E-4</v>
      </c>
      <c r="H64" s="61">
        <f>IFERROR((($C64*st_DL)/st_com!G64),0)</f>
        <v>8.6037181908588625E-2</v>
      </c>
      <c r="I64" s="61">
        <f>IFERROR((($C64*st_DL)/st_com!H64),0)</f>
        <v>7.9116502248670324</v>
      </c>
    </row>
    <row r="65" spans="1:9">
      <c r="A65" s="65" t="s">
        <v>407</v>
      </c>
      <c r="B65" s="89">
        <v>1</v>
      </c>
      <c r="C65" s="58">
        <v>5</v>
      </c>
      <c r="D65" s="61">
        <f>IFERROR((($C65*st_DL)/st_com!C65),0)</f>
        <v>0</v>
      </c>
      <c r="E65" s="61">
        <f>IFERROR((($C65*st_DL)/st_com!D65),0)</f>
        <v>9.2035923824429293</v>
      </c>
      <c r="F65" s="61">
        <f>IFERROR((($C65*st_DL)/st_com!E65),0)</f>
        <v>9.959675078746065E-2</v>
      </c>
      <c r="G65" s="61">
        <f>IFERROR((($C65*st_DL)/st_com!F65),0)</f>
        <v>7.7733965168728568E-9</v>
      </c>
      <c r="H65" s="61">
        <f>IFERROR((($C65*st_DL)/st_com!G65),0)</f>
        <v>9.959675856085716E-2</v>
      </c>
      <c r="I65" s="61">
        <f>IFERROR((($C65*st_DL)/st_com!H65),0)</f>
        <v>9.2035923902163272</v>
      </c>
    </row>
    <row r="66" spans="1:9">
      <c r="A66" s="65" t="s">
        <v>408</v>
      </c>
      <c r="B66" s="89">
        <v>0.99980000000000002</v>
      </c>
      <c r="C66" s="58">
        <v>5</v>
      </c>
      <c r="D66" s="61">
        <f>IFERROR((($C66*st_DL)/st_com!C66),0)</f>
        <v>8.4295560994347443E-2</v>
      </c>
      <c r="E66" s="61">
        <f>IFERROR((($C66*st_DL)/st_com!D66),0)</f>
        <v>56.27317946730134</v>
      </c>
      <c r="F66" s="61">
        <f>IFERROR((($C66*st_DL)/st_com!E66),0)</f>
        <v>0.60896067519400621</v>
      </c>
      <c r="G66" s="61">
        <f>IFERROR((($C66*st_DL)/st_com!F66),0)</f>
        <v>0.2845254422835799</v>
      </c>
      <c r="H66" s="61">
        <f>IFERROR((($C66*st_DL)/st_com!G66),0)</f>
        <v>0.97778167847193342</v>
      </c>
      <c r="I66" s="61">
        <f>IFERROR((($C66*st_DL)/st_com!H66),0)</f>
        <v>56.642000470579262</v>
      </c>
    </row>
    <row r="67" spans="1:9">
      <c r="A67" s="65" t="s">
        <v>409</v>
      </c>
      <c r="B67" s="89">
        <v>2.0000000000000001E-4</v>
      </c>
      <c r="C67" s="58">
        <v>5</v>
      </c>
      <c r="D67" s="61">
        <f>IFERROR((($C67*st_DL)/st_com!C67),0)</f>
        <v>0</v>
      </c>
      <c r="E67" s="61">
        <f>IFERROR((($C67*st_DL)/st_com!D67),0)</f>
        <v>0</v>
      </c>
      <c r="F67" s="61">
        <f>IFERROR((($C67*st_DL)/st_com!E67),0)</f>
        <v>0</v>
      </c>
      <c r="G67" s="61">
        <f>IFERROR((($C67*st_DL)/st_com!F67),0)</f>
        <v>2.9223295176213751E-8</v>
      </c>
      <c r="H67" s="61">
        <f>IFERROR((($C67*st_DL)/st_com!G67),0)</f>
        <v>2.9223295176213754E-8</v>
      </c>
      <c r="I67" s="61">
        <f>IFERROR((($C67*st_DL)/st_com!H67),0)</f>
        <v>2.9223295176213754E-8</v>
      </c>
    </row>
    <row r="68" spans="1:9">
      <c r="A68" s="65" t="s">
        <v>410</v>
      </c>
      <c r="B68" s="89">
        <v>0.99999979999999999</v>
      </c>
      <c r="C68" s="58">
        <v>5</v>
      </c>
      <c r="D68" s="61">
        <f>IFERROR((($C68*st_DL)/st_com!C68),0)</f>
        <v>6.793517655434933E-2</v>
      </c>
      <c r="E68" s="61">
        <f>IFERROR((($C68*st_DL)/st_com!D68),0)</f>
        <v>44.20622228702296</v>
      </c>
      <c r="F68" s="61">
        <f>IFERROR((($C68*st_DL)/st_com!E68),0)</f>
        <v>0.47837799865785363</v>
      </c>
      <c r="G68" s="61">
        <f>IFERROR((($C68*st_DL)/st_com!F68),0)</f>
        <v>1.5969062495432764</v>
      </c>
      <c r="H68" s="61">
        <f>IFERROR((($C68*st_DL)/st_com!G68),0)</f>
        <v>2.143219424755479</v>
      </c>
      <c r="I68" s="61">
        <f>IFERROR((($C68*st_DL)/st_com!H68),0)</f>
        <v>45.871063713120591</v>
      </c>
    </row>
    <row r="69" spans="1:9">
      <c r="A69" s="65" t="s">
        <v>411</v>
      </c>
      <c r="B69" s="89">
        <v>1.9999999999999999E-7</v>
      </c>
      <c r="C69" s="58">
        <v>5</v>
      </c>
      <c r="D69" s="61">
        <f>IFERROR((($C69*st_DL)/st_com!C69),0)</f>
        <v>0</v>
      </c>
      <c r="E69" s="61">
        <f>IFERROR((($C69*st_DL)/st_com!D69),0)</f>
        <v>0</v>
      </c>
      <c r="F69" s="61">
        <f>IFERROR((($C69*st_DL)/st_com!E69),0)</f>
        <v>0</v>
      </c>
      <c r="G69" s="61">
        <f>IFERROR((($C69*st_DL)/st_com!F69),0)</f>
        <v>1.6664265536208306E-10</v>
      </c>
      <c r="H69" s="61">
        <f>IFERROR((($C69*st_DL)/st_com!G69),0)</f>
        <v>1.6664265536208306E-10</v>
      </c>
      <c r="I69" s="61">
        <f>IFERROR((($C69*st_DL)/st_com!H69),0)</f>
        <v>1.6664265536208306E-10</v>
      </c>
    </row>
    <row r="70" spans="1:9">
      <c r="A70" s="65" t="s">
        <v>412</v>
      </c>
      <c r="B70" s="89">
        <v>0.99979000004200003</v>
      </c>
      <c r="C70" s="58">
        <v>5</v>
      </c>
      <c r="D70" s="61">
        <f>IFERROR((($C70*st_DL)/st_com!C70),0)</f>
        <v>0</v>
      </c>
      <c r="E70" s="61">
        <f>IFERROR((($C70*st_DL)/st_com!D70),0)</f>
        <v>0</v>
      </c>
      <c r="F70" s="61">
        <f>IFERROR((($C70*st_DL)/st_com!E70),0)</f>
        <v>0</v>
      </c>
      <c r="G70" s="61">
        <f>IFERROR((($C70*st_DL)/st_com!F70),0)</f>
        <v>8.9850765107763782E-5</v>
      </c>
      <c r="H70" s="61">
        <f>IFERROR((($C70*st_DL)/st_com!G70),0)</f>
        <v>8.9850765107763782E-5</v>
      </c>
      <c r="I70" s="61">
        <f>IFERROR((($C70*st_DL)/st_com!H70),0)</f>
        <v>8.9850765107763782E-5</v>
      </c>
    </row>
    <row r="71" spans="1:9">
      <c r="A71" s="65" t="s">
        <v>413</v>
      </c>
      <c r="B71" s="89">
        <v>2.0999995799999999E-4</v>
      </c>
      <c r="C71" s="58">
        <v>5</v>
      </c>
      <c r="D71" s="61">
        <f>IFERROR((($C71*st_DL)/st_com!C71),0)</f>
        <v>0</v>
      </c>
      <c r="E71" s="61">
        <f>IFERROR((($C71*st_DL)/st_com!D71),0)</f>
        <v>0</v>
      </c>
      <c r="F71" s="61">
        <f>IFERROR((($C71*st_DL)/st_com!E71),0)</f>
        <v>0</v>
      </c>
      <c r="G71" s="61">
        <f>IFERROR((($C71*st_DL)/st_com!F71),0)</f>
        <v>6.2862542384322132E-4</v>
      </c>
      <c r="H71" s="61">
        <f>IFERROR((($C71*st_DL)/st_com!G71),0)</f>
        <v>6.2862542384322132E-4</v>
      </c>
      <c r="I71" s="61">
        <f>IFERROR((($C71*st_DL)/st_com!H71),0)</f>
        <v>6.2862542384322132E-4</v>
      </c>
    </row>
    <row r="72" spans="1:9">
      <c r="A72" s="65" t="s">
        <v>414</v>
      </c>
      <c r="B72" s="89">
        <v>1</v>
      </c>
      <c r="C72" s="58">
        <v>5</v>
      </c>
      <c r="D72" s="61">
        <f>IFERROR((($C72*st_DL)/st_com!C72),0)</f>
        <v>422.16868159290721</v>
      </c>
      <c r="E72" s="61">
        <f>IFERROR((($C72*st_DL)/st_com!D72),0)</f>
        <v>26947.68368040476</v>
      </c>
      <c r="F72" s="61">
        <f>IFERROR((($C72*st_DL)/st_com!E72),0)</f>
        <v>291.61458094737992</v>
      </c>
      <c r="G72" s="61">
        <f>IFERROR((($C72*st_DL)/st_com!F72),0)</f>
        <v>2.8184244681059472E-3</v>
      </c>
      <c r="H72" s="61">
        <f>IFERROR((($C72*st_DL)/st_com!G72),0)</f>
        <v>713.78608096475523</v>
      </c>
      <c r="I72" s="61">
        <f>IFERROR((($C72*st_DL)/st_com!H72),0)</f>
        <v>27369.855180422135</v>
      </c>
    </row>
    <row r="73" spans="1:9">
      <c r="A73" s="65" t="s">
        <v>415</v>
      </c>
      <c r="B73" s="89">
        <v>1</v>
      </c>
      <c r="C73" s="58">
        <v>5</v>
      </c>
      <c r="D73" s="61">
        <f>IFERROR((($C73*st_DL)/st_com!C73),0)</f>
        <v>0.79459909897515579</v>
      </c>
      <c r="E73" s="61">
        <f>IFERROR((($C73*st_DL)/st_com!D73),0)</f>
        <v>652.46464632489131</v>
      </c>
      <c r="F73" s="61">
        <f>IFERROR((($C73*st_DL)/st_com!E73),0)</f>
        <v>7.060651545326281</v>
      </c>
      <c r="G73" s="61">
        <f>IFERROR((($C73*st_DL)/st_com!F73),0)</f>
        <v>4.1484280626788703E-2</v>
      </c>
      <c r="H73" s="61">
        <f>IFERROR((($C73*st_DL)/st_com!G73),0)</f>
        <v>7.8967349249282259</v>
      </c>
      <c r="I73" s="61">
        <f>IFERROR((($C73*st_DL)/st_com!H73),0)</f>
        <v>653.30072970449328</v>
      </c>
    </row>
    <row r="74" spans="1:9">
      <c r="A74" s="65" t="s">
        <v>416</v>
      </c>
      <c r="B74" s="91">
        <v>1.9000000000000001E-8</v>
      </c>
      <c r="C74" s="58">
        <v>5</v>
      </c>
      <c r="D74" s="61">
        <f>IFERROR((($C74*st_DL)/st_com!C74),0)</f>
        <v>0</v>
      </c>
      <c r="E74" s="61">
        <f>IFERROR((($C74*st_DL)/st_com!D74),0)</f>
        <v>0</v>
      </c>
      <c r="F74" s="61">
        <f>IFERROR((($C74*st_DL)/st_com!E74),0)</f>
        <v>0</v>
      </c>
      <c r="G74" s="61">
        <f>IFERROR((($C74*st_DL)/st_com!F74),0)</f>
        <v>3.3160133198766416E-9</v>
      </c>
      <c r="H74" s="61">
        <f>IFERROR((($C74*st_DL)/st_com!G74),0)</f>
        <v>3.3160133198766416E-9</v>
      </c>
      <c r="I74" s="61">
        <f>IFERROR((($C74*st_DL)/st_com!H74),0)</f>
        <v>3.3160133198766416E-9</v>
      </c>
    </row>
    <row r="75" spans="1:9">
      <c r="A75" s="65" t="s">
        <v>417</v>
      </c>
      <c r="B75" s="89">
        <v>1</v>
      </c>
      <c r="C75" s="58">
        <v>5</v>
      </c>
      <c r="D75" s="61">
        <f>IFERROR((($C75*st_DL)/st_com!C75),0)</f>
        <v>733.94267920605989</v>
      </c>
      <c r="E75" s="61">
        <f>IFERROR((($C75*st_DL)/st_com!D75),0)</f>
        <v>20914.620169866383</v>
      </c>
      <c r="F75" s="61">
        <f>IFERROR((($C75*st_DL)/st_com!E75),0)</f>
        <v>226.32773446662324</v>
      </c>
      <c r="G75" s="61">
        <f>IFERROR((($C75*st_DL)/st_com!F75),0)</f>
        <v>1.0554287487219529E-5</v>
      </c>
      <c r="H75" s="61">
        <f>IFERROR((($C75*st_DL)/st_com!G75),0)</f>
        <v>960.27042422697059</v>
      </c>
      <c r="I75" s="61">
        <f>IFERROR((($C75*st_DL)/st_com!H75),0)</f>
        <v>21648.562859626731</v>
      </c>
    </row>
    <row r="76" spans="1:9">
      <c r="A76" s="65" t="s">
        <v>418</v>
      </c>
      <c r="B76" s="89">
        <v>1.339E-6</v>
      </c>
      <c r="C76" s="58">
        <v>5</v>
      </c>
      <c r="D76" s="61">
        <f>IFERROR((($C76*st_DL)/st_com!C76),0)</f>
        <v>0</v>
      </c>
      <c r="E76" s="61">
        <f>IFERROR((($C76*st_DL)/st_com!D76),0)</f>
        <v>0</v>
      </c>
      <c r="F76" s="61">
        <f>IFERROR((($C76*st_DL)/st_com!E76),0)</f>
        <v>0</v>
      </c>
      <c r="G76" s="61">
        <f>IFERROR((($C76*st_DL)/st_com!F76),0)</f>
        <v>1.0026351635072455E-7</v>
      </c>
      <c r="H76" s="61">
        <f>IFERROR((($C76*st_DL)/st_com!G76),0)</f>
        <v>1.0026351635072455E-7</v>
      </c>
      <c r="I76" s="61">
        <f>IFERROR((($C76*st_DL)/st_com!H76),0)</f>
        <v>1.0026351635072455E-7</v>
      </c>
    </row>
  </sheetData>
  <sheetProtection algorithmName="SHA-512" hashValue="M9f6CMAuvc8REWBr/k8tkkfHT9ZO95K6QTz54YoAejyNn2RGcfiIp4xi1VSy9Wl5u3VaRhIQihycyTS+COewgA==" saltValue="xvF50b/O/6cyTybnEktlxw==" spinCount="100000" sheet="1" objects="1" scenarios="1"/>
  <autoFilter ref="A1:I76" xr:uid="{00000000-0009-0000-0000-000011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0"/>
  <sheetViews>
    <sheetView workbookViewId="0">
      <pane xSplit="2" ySplit="1" topLeftCell="C2" activePane="bottomRight" state="frozen"/>
      <selection pane="topRight" activeCell="F1" sqref="F1"/>
      <selection pane="bottomLeft" activeCell="A2" sqref="A2"/>
      <selection pane="bottomRight" activeCell="C2" sqref="C2"/>
    </sheetView>
  </sheetViews>
  <sheetFormatPr defaultRowHeight="14.25"/>
  <cols>
    <col min="1" max="1" width="12.59765625" style="4" bestFit="1" customWidth="1"/>
    <col min="2" max="2" width="8.86328125" style="4" bestFit="1" customWidth="1"/>
    <col min="3" max="3" width="8.86328125" style="4" customWidth="1"/>
    <col min="4" max="4" width="14.1328125" style="4" bestFit="1" customWidth="1"/>
    <col min="5" max="5" width="17.265625" style="4" bestFit="1" customWidth="1"/>
    <col min="6" max="6" width="12.86328125" style="4" bestFit="1" customWidth="1"/>
    <col min="7" max="7" width="15.73046875" style="5" bestFit="1" customWidth="1"/>
    <col min="8" max="8" width="19" style="5" bestFit="1" customWidth="1"/>
    <col min="9" max="9" width="18.3984375" style="5" bestFit="1" customWidth="1"/>
    <col min="10" max="11" width="19.265625" style="5" bestFit="1" customWidth="1"/>
    <col min="12" max="13" width="20.3984375" style="5" bestFit="1" customWidth="1"/>
    <col min="14" max="15" width="18.3984375" style="5" bestFit="1" customWidth="1"/>
    <col min="16" max="16" width="14.73046875" style="5" bestFit="1" customWidth="1"/>
    <col min="17" max="17" width="15" style="5" bestFit="1" customWidth="1"/>
    <col min="18" max="19" width="16" style="5" bestFit="1" customWidth="1"/>
    <col min="20" max="21" width="17" style="5" bestFit="1" customWidth="1"/>
    <col min="22" max="23" width="15" style="5" bestFit="1" customWidth="1"/>
    <col min="24" max="24" width="12" style="5" bestFit="1" customWidth="1"/>
    <col min="25" max="25" width="18.265625" style="5" bestFit="1" customWidth="1"/>
    <col min="26" max="27" width="19.1328125" style="5" bestFit="1" customWidth="1"/>
    <col min="28" max="29" width="20.265625" style="5" bestFit="1" customWidth="1"/>
    <col min="30" max="31" width="18.265625" style="5" bestFit="1" customWidth="1"/>
    <col min="32" max="32" width="14.59765625" style="5" bestFit="1" customWidth="1"/>
    <col min="33" max="33" width="14.1328125" style="5" bestFit="1" customWidth="1"/>
    <col min="34" max="35" width="15" style="5" bestFit="1" customWidth="1"/>
    <col min="36" max="37" width="16.1328125" style="5" bestFit="1" customWidth="1"/>
    <col min="38" max="39" width="14.1328125" style="5" bestFit="1" customWidth="1"/>
    <col min="40" max="40" width="12" style="5" bestFit="1" customWidth="1"/>
    <col min="41" max="41" width="15" style="5" bestFit="1" customWidth="1"/>
    <col min="42" max="42" width="19" style="5" bestFit="1" customWidth="1"/>
    <col min="43" max="43" width="18.86328125" style="5" bestFit="1" customWidth="1"/>
    <col min="44" max="44" width="17.86328125" style="5" bestFit="1" customWidth="1"/>
    <col min="45" max="46" width="18.73046875" style="5" bestFit="1" customWidth="1"/>
    <col min="47" max="47" width="19.86328125" style="5" bestFit="1" customWidth="1"/>
    <col min="48" max="48" width="12" style="5" bestFit="1" customWidth="1"/>
    <col min="49" max="49" width="15.1328125" style="5" bestFit="1" customWidth="1"/>
    <col min="50" max="50" width="15" style="5" bestFit="1" customWidth="1"/>
    <col min="51" max="51" width="14" style="5" bestFit="1" customWidth="1"/>
    <col min="52" max="53" width="14.86328125" style="5" bestFit="1" customWidth="1"/>
    <col min="54" max="54" width="16" style="5" bestFit="1" customWidth="1"/>
    <col min="55" max="55" width="8.73046875" style="4" bestFit="1" customWidth="1"/>
    <col min="56" max="56" width="13.265625" style="5" bestFit="1" customWidth="1"/>
    <col min="57" max="57" width="11.1328125" style="5" bestFit="1" customWidth="1"/>
    <col min="58" max="58" width="8.73046875" style="4" bestFit="1" customWidth="1"/>
    <col min="59" max="59" width="12.3984375" style="4" bestFit="1" customWidth="1"/>
    <col min="60" max="16384" width="9.06640625" style="4"/>
  </cols>
  <sheetData>
    <row r="1" spans="1:59">
      <c r="A1" s="57" t="s">
        <v>323</v>
      </c>
      <c r="B1" s="117" t="s">
        <v>324</v>
      </c>
      <c r="C1" s="117" t="s">
        <v>0</v>
      </c>
      <c r="D1" s="57" t="s">
        <v>325</v>
      </c>
      <c r="E1" s="57" t="s">
        <v>326</v>
      </c>
      <c r="F1" s="57" t="s">
        <v>327</v>
      </c>
      <c r="G1" s="118" t="s">
        <v>328</v>
      </c>
      <c r="H1" s="118" t="s">
        <v>329</v>
      </c>
      <c r="I1" s="118" t="s">
        <v>330</v>
      </c>
      <c r="J1" s="118" t="s">
        <v>331</v>
      </c>
      <c r="K1" s="118" t="s">
        <v>332</v>
      </c>
      <c r="L1" s="118" t="s">
        <v>333</v>
      </c>
      <c r="M1" s="118" t="s">
        <v>334</v>
      </c>
      <c r="N1" s="118" t="s">
        <v>335</v>
      </c>
      <c r="O1" s="118" t="s">
        <v>336</v>
      </c>
      <c r="P1" s="118" t="s">
        <v>337</v>
      </c>
      <c r="Q1" s="118" t="s">
        <v>338</v>
      </c>
      <c r="R1" s="118" t="s">
        <v>339</v>
      </c>
      <c r="S1" s="118" t="s">
        <v>340</v>
      </c>
      <c r="T1" s="118" t="s">
        <v>341</v>
      </c>
      <c r="U1" s="118" t="s">
        <v>342</v>
      </c>
      <c r="V1" s="118" t="s">
        <v>343</v>
      </c>
      <c r="W1" s="118" t="s">
        <v>344</v>
      </c>
      <c r="X1" s="118" t="s">
        <v>345</v>
      </c>
      <c r="Y1" s="118" t="s">
        <v>346</v>
      </c>
      <c r="Z1" s="118" t="s">
        <v>347</v>
      </c>
      <c r="AA1" s="118" t="s">
        <v>348</v>
      </c>
      <c r="AB1" s="118" t="s">
        <v>349</v>
      </c>
      <c r="AC1" s="118" t="s">
        <v>350</v>
      </c>
      <c r="AD1" s="118" t="s">
        <v>351</v>
      </c>
      <c r="AE1" s="118" t="s">
        <v>352</v>
      </c>
      <c r="AF1" s="118" t="s">
        <v>353</v>
      </c>
      <c r="AG1" s="118" t="s">
        <v>354</v>
      </c>
      <c r="AH1" s="118" t="s">
        <v>355</v>
      </c>
      <c r="AI1" s="118" t="s">
        <v>356</v>
      </c>
      <c r="AJ1" s="118" t="s">
        <v>357</v>
      </c>
      <c r="AK1" s="118" t="s">
        <v>358</v>
      </c>
      <c r="AL1" s="118" t="s">
        <v>359</v>
      </c>
      <c r="AM1" s="118" t="s">
        <v>360</v>
      </c>
      <c r="AN1" s="118" t="s">
        <v>361</v>
      </c>
      <c r="AO1" s="118" t="s">
        <v>362</v>
      </c>
      <c r="AP1" s="118" t="s">
        <v>363</v>
      </c>
      <c r="AQ1" s="118" t="s">
        <v>364</v>
      </c>
      <c r="AR1" s="118" t="s">
        <v>365</v>
      </c>
      <c r="AS1" s="118" t="s">
        <v>366</v>
      </c>
      <c r="AT1" s="118" t="s">
        <v>367</v>
      </c>
      <c r="AU1" s="118" t="s">
        <v>368</v>
      </c>
      <c r="AV1" s="118" t="s">
        <v>369</v>
      </c>
      <c r="AW1" s="118" t="s">
        <v>370</v>
      </c>
      <c r="AX1" s="118" t="s">
        <v>371</v>
      </c>
      <c r="AY1" s="118" t="s">
        <v>372</v>
      </c>
      <c r="AZ1" s="118" t="s">
        <v>373</v>
      </c>
      <c r="BA1" s="118" t="s">
        <v>374</v>
      </c>
      <c r="BB1" s="118" t="s">
        <v>375</v>
      </c>
      <c r="BC1" s="57" t="s">
        <v>3</v>
      </c>
      <c r="BD1" s="118" t="s">
        <v>1</v>
      </c>
      <c r="BE1" s="118" t="s">
        <v>2</v>
      </c>
      <c r="BF1" s="118" t="s">
        <v>376</v>
      </c>
      <c r="BG1" s="121" t="s">
        <v>4</v>
      </c>
    </row>
    <row r="2" spans="1:59">
      <c r="A2" s="60" t="s">
        <v>5</v>
      </c>
      <c r="B2" s="58" t="s">
        <v>6</v>
      </c>
      <c r="C2" s="58"/>
      <c r="D2" s="58" t="s">
        <v>377</v>
      </c>
      <c r="E2" s="58"/>
      <c r="F2" s="58"/>
      <c r="G2" s="119">
        <v>5.0000000000000001E-3</v>
      </c>
      <c r="H2" s="119">
        <v>5.0000000000000001E-3</v>
      </c>
      <c r="I2" s="119">
        <v>5.51E-7</v>
      </c>
      <c r="J2" s="119">
        <v>2.4299999999999999E-7</v>
      </c>
      <c r="K2" s="119">
        <v>1.1999999999999999E-7</v>
      </c>
      <c r="L2" s="119">
        <v>8.1699999999999997E-8</v>
      </c>
      <c r="M2" s="119">
        <v>4.8200000000000001E-8</v>
      </c>
      <c r="N2" s="119">
        <v>3.8600000000000002E-8</v>
      </c>
      <c r="O2" s="119">
        <v>5.2299999999999998E-8</v>
      </c>
      <c r="P2" s="119">
        <v>5.2299999999999998E-8</v>
      </c>
      <c r="Q2" s="119">
        <v>2.0387000000000001E-3</v>
      </c>
      <c r="R2" s="119">
        <v>8.9910000000000001E-4</v>
      </c>
      <c r="S2" s="119">
        <v>4.44E-4</v>
      </c>
      <c r="T2" s="119">
        <v>3.0228999999999998E-4</v>
      </c>
      <c r="U2" s="119">
        <v>1.7834E-4</v>
      </c>
      <c r="V2" s="119">
        <v>1.4281999999999999E-4</v>
      </c>
      <c r="W2" s="119">
        <v>1.9351000000000001E-4</v>
      </c>
      <c r="X2" s="119">
        <v>1.9351000000000001E-4</v>
      </c>
      <c r="Y2" s="119">
        <v>3.0599999999999998E-5</v>
      </c>
      <c r="Z2" s="119">
        <v>2.3200000000000001E-5</v>
      </c>
      <c r="AA2" s="119">
        <v>1.5E-5</v>
      </c>
      <c r="AB2" s="119">
        <v>1.1199999999999999E-5</v>
      </c>
      <c r="AC2" s="119">
        <v>1.0699999999999999E-5</v>
      </c>
      <c r="AD2" s="119">
        <v>8.4800000000000001E-6</v>
      </c>
      <c r="AE2" s="119">
        <v>9.1800000000000002E-6</v>
      </c>
      <c r="AF2" s="119">
        <v>9.1800000000000002E-6</v>
      </c>
      <c r="AG2" s="119">
        <v>0.11322</v>
      </c>
      <c r="AH2" s="119">
        <v>8.584E-2</v>
      </c>
      <c r="AI2" s="119">
        <v>5.5500000000000001E-2</v>
      </c>
      <c r="AJ2" s="119">
        <v>4.1439999999999998E-2</v>
      </c>
      <c r="AK2" s="119">
        <v>3.959E-2</v>
      </c>
      <c r="AL2" s="119">
        <v>3.1376000000000001E-2</v>
      </c>
      <c r="AM2" s="119">
        <v>3.3966000000000003E-2</v>
      </c>
      <c r="AN2" s="119">
        <v>3.3966000000000003E-2</v>
      </c>
      <c r="AO2" s="119">
        <v>2.8300000000000001E-19</v>
      </c>
      <c r="AP2" s="119">
        <v>5.6600000000000003E-16</v>
      </c>
      <c r="AQ2" s="119">
        <v>1.26E-18</v>
      </c>
      <c r="AR2" s="119">
        <v>1.3200000000000001E-17</v>
      </c>
      <c r="AS2" s="119">
        <v>7.8100000000000005E-20</v>
      </c>
      <c r="AT2" s="119">
        <v>2.0400000000000001E-19</v>
      </c>
      <c r="AU2" s="119">
        <v>2.7499999999999998E-19</v>
      </c>
      <c r="AV2" s="119">
        <v>5.2864399999999999E-2</v>
      </c>
      <c r="AW2" s="119">
        <v>105.72880000000001</v>
      </c>
      <c r="AX2" s="119">
        <v>0.23536799999999999</v>
      </c>
      <c r="AY2" s="119">
        <v>1.54308E-2</v>
      </c>
      <c r="AZ2" s="61">
        <v>1.4589080000000001E-2</v>
      </c>
      <c r="BA2" s="61">
        <v>3.8107200000000001E-2</v>
      </c>
      <c r="BB2" s="61">
        <v>5.1369999999999999E-2</v>
      </c>
      <c r="BC2" s="58">
        <v>225</v>
      </c>
      <c r="BD2" s="119">
        <v>2.7397260273972601E-2</v>
      </c>
      <c r="BE2" s="119">
        <v>25.294499999999999</v>
      </c>
      <c r="BF2" s="122">
        <f t="shared" ref="BF2:BF10" si="0">IFERROR((t_com*BE2)/(1-EXP(-BE2*t_com)),".")</f>
        <v>25.294500000261674</v>
      </c>
      <c r="BG2" s="123">
        <v>10</v>
      </c>
    </row>
    <row r="3" spans="1:59">
      <c r="A3" s="62" t="s">
        <v>7</v>
      </c>
      <c r="B3" s="58" t="s">
        <v>8</v>
      </c>
      <c r="C3" s="58"/>
      <c r="D3" s="58" t="s">
        <v>379</v>
      </c>
      <c r="E3" s="58"/>
      <c r="F3" s="58"/>
      <c r="G3" s="119">
        <v>5.0000000000000001E-3</v>
      </c>
      <c r="H3" s="119">
        <v>5.0000000000000001E-3</v>
      </c>
      <c r="I3" s="72">
        <v>3.72E-6</v>
      </c>
      <c r="J3" s="72">
        <v>3.7500000000000001E-7</v>
      </c>
      <c r="K3" s="72">
        <v>2.7399999999999999E-7</v>
      </c>
      <c r="L3" s="72">
        <v>2.22E-7</v>
      </c>
      <c r="M3" s="72">
        <v>2.04E-7</v>
      </c>
      <c r="N3" s="72">
        <v>2.04E-7</v>
      </c>
      <c r="O3" s="72">
        <v>2.3799999999999999E-7</v>
      </c>
      <c r="P3" s="72">
        <v>2.3799999999999999E-7</v>
      </c>
      <c r="Q3" s="72">
        <v>1.3764E-2</v>
      </c>
      <c r="R3" s="72">
        <v>1.3875000000000001E-3</v>
      </c>
      <c r="S3" s="72">
        <v>1.0138E-3</v>
      </c>
      <c r="T3" s="72">
        <v>8.2140000000000002E-4</v>
      </c>
      <c r="U3" s="72">
        <v>7.5480000000000002E-4</v>
      </c>
      <c r="V3" s="72">
        <v>7.5480000000000002E-4</v>
      </c>
      <c r="W3" s="72">
        <v>8.8060000000000005E-4</v>
      </c>
      <c r="X3" s="72">
        <v>8.8060000000000005E-4</v>
      </c>
      <c r="Y3" s="72">
        <v>1.8599999999999999E-4</v>
      </c>
      <c r="Z3" s="72">
        <v>1.7799999999999999E-4</v>
      </c>
      <c r="AA3" s="72">
        <v>1.2300000000000001E-4</v>
      </c>
      <c r="AB3" s="72">
        <v>1.01E-4</v>
      </c>
      <c r="AC3" s="72">
        <v>9.2800000000000006E-5</v>
      </c>
      <c r="AD3" s="72">
        <v>9.6399999999999999E-5</v>
      </c>
      <c r="AE3" s="72">
        <v>9.8099999999999999E-5</v>
      </c>
      <c r="AF3" s="72">
        <v>9.8099999999999999E-5</v>
      </c>
      <c r="AG3" s="72">
        <v>0.68820000000000003</v>
      </c>
      <c r="AH3" s="72">
        <v>0.65859999999999996</v>
      </c>
      <c r="AI3" s="72">
        <v>0.4551</v>
      </c>
      <c r="AJ3" s="72">
        <v>0.37369999999999998</v>
      </c>
      <c r="AK3" s="72">
        <v>0.34336</v>
      </c>
      <c r="AL3" s="72">
        <v>0.35668</v>
      </c>
      <c r="AM3" s="72">
        <v>0.36297000000000001</v>
      </c>
      <c r="AN3" s="72">
        <v>0.36297000000000001</v>
      </c>
      <c r="AO3" s="72">
        <v>1.9900000000000001E-19</v>
      </c>
      <c r="AP3" s="72">
        <v>6.7199999999999997E-16</v>
      </c>
      <c r="AQ3" s="72">
        <v>1.5400000000000001E-18</v>
      </c>
      <c r="AR3" s="72">
        <v>2.1800000000000001E-17</v>
      </c>
      <c r="AS3" s="72">
        <v>9.8000000000000003E-20</v>
      </c>
      <c r="AT3" s="72">
        <v>1.85E-19</v>
      </c>
      <c r="AU3" s="72">
        <v>1.9900000000000001E-19</v>
      </c>
      <c r="AV3" s="72">
        <v>3.7173200000000003E-2</v>
      </c>
      <c r="AW3" s="72">
        <v>125.5296</v>
      </c>
      <c r="AX3" s="72">
        <v>0.28767199999999998</v>
      </c>
      <c r="AY3" s="72">
        <v>2.5484199999999999E-2</v>
      </c>
      <c r="AZ3" s="61">
        <v>1.83064E-2</v>
      </c>
      <c r="BA3" s="61">
        <v>3.4557999999999998E-2</v>
      </c>
      <c r="BB3" s="61">
        <v>3.7173200000000003E-2</v>
      </c>
      <c r="BC3" s="124">
        <v>241</v>
      </c>
      <c r="BD3" s="72">
        <v>432.2</v>
      </c>
      <c r="BE3" s="72">
        <v>1.60342434058306E-3</v>
      </c>
      <c r="BF3" s="122">
        <f t="shared" si="0"/>
        <v>1.0008019264177597</v>
      </c>
      <c r="BG3" s="123">
        <v>157753</v>
      </c>
    </row>
    <row r="4" spans="1:59">
      <c r="A4" s="60" t="s">
        <v>9</v>
      </c>
      <c r="B4" s="58" t="s">
        <v>6</v>
      </c>
      <c r="C4" s="58"/>
      <c r="D4" s="58" t="s">
        <v>378</v>
      </c>
      <c r="E4" s="58"/>
      <c r="F4" s="58"/>
      <c r="G4" s="119"/>
      <c r="H4" s="119">
        <v>0</v>
      </c>
      <c r="I4" s="119">
        <v>0</v>
      </c>
      <c r="J4" s="119">
        <v>0</v>
      </c>
      <c r="K4" s="119">
        <v>0</v>
      </c>
      <c r="L4" s="119">
        <v>0</v>
      </c>
      <c r="M4" s="119">
        <v>0</v>
      </c>
      <c r="N4" s="119">
        <v>0</v>
      </c>
      <c r="O4" s="119">
        <v>0</v>
      </c>
      <c r="P4" s="119">
        <v>0</v>
      </c>
      <c r="Q4" s="119">
        <v>0</v>
      </c>
      <c r="R4" s="119">
        <v>0</v>
      </c>
      <c r="S4" s="119">
        <v>0</v>
      </c>
      <c r="T4" s="119">
        <v>0</v>
      </c>
      <c r="U4" s="119">
        <v>0</v>
      </c>
      <c r="V4" s="119">
        <v>0</v>
      </c>
      <c r="W4" s="119">
        <v>0</v>
      </c>
      <c r="X4" s="119">
        <v>0</v>
      </c>
      <c r="Y4" s="119">
        <v>0</v>
      </c>
      <c r="Z4" s="119">
        <v>0</v>
      </c>
      <c r="AA4" s="119">
        <v>0</v>
      </c>
      <c r="AB4" s="119">
        <v>0</v>
      </c>
      <c r="AC4" s="119">
        <v>0</v>
      </c>
      <c r="AD4" s="119">
        <v>0</v>
      </c>
      <c r="AE4" s="119">
        <v>0</v>
      </c>
      <c r="AF4" s="119">
        <v>0</v>
      </c>
      <c r="AG4" s="119">
        <v>0</v>
      </c>
      <c r="AH4" s="119">
        <v>0</v>
      </c>
      <c r="AI4" s="119">
        <v>0</v>
      </c>
      <c r="AJ4" s="119">
        <v>0</v>
      </c>
      <c r="AK4" s="119">
        <v>0</v>
      </c>
      <c r="AL4" s="119">
        <v>0</v>
      </c>
      <c r="AM4" s="119">
        <v>0</v>
      </c>
      <c r="AN4" s="119">
        <v>0</v>
      </c>
      <c r="AO4" s="119">
        <v>6.3500000000000002E-21</v>
      </c>
      <c r="AP4" s="119">
        <v>1.0600000000000001E-17</v>
      </c>
      <c r="AQ4" s="119">
        <v>2.31E-20</v>
      </c>
      <c r="AR4" s="119">
        <v>2.2699999999999998E-19</v>
      </c>
      <c r="AS4" s="119">
        <v>1.4399999999999999E-21</v>
      </c>
      <c r="AT4" s="119">
        <v>4.0200000000000001E-21</v>
      </c>
      <c r="AU4" s="119">
        <v>5.9399999999999998E-21</v>
      </c>
      <c r="AV4" s="119">
        <v>1.18618E-3</v>
      </c>
      <c r="AW4" s="119">
        <v>1.9800800000000001</v>
      </c>
      <c r="AX4" s="119">
        <v>4.3150799999999998E-3</v>
      </c>
      <c r="AY4" s="119">
        <v>2.6536300000000001E-4</v>
      </c>
      <c r="AZ4" s="61">
        <v>2.6899200000000002E-4</v>
      </c>
      <c r="BA4" s="61">
        <v>7.5093600000000001E-4</v>
      </c>
      <c r="BB4" s="61">
        <v>1.109592E-3</v>
      </c>
      <c r="BC4" s="58">
        <v>217</v>
      </c>
      <c r="BD4" s="119">
        <v>1.0242262810756E-9</v>
      </c>
      <c r="BE4" s="119">
        <v>676608297.21362197</v>
      </c>
      <c r="BF4" s="122">
        <f t="shared" si="0"/>
        <v>676608297.21362197</v>
      </c>
      <c r="BG4" s="123">
        <v>3.7384259259259298E-7</v>
      </c>
    </row>
    <row r="5" spans="1:59">
      <c r="A5" s="60" t="s">
        <v>10</v>
      </c>
      <c r="B5" s="120" t="s">
        <v>6</v>
      </c>
      <c r="C5" s="58"/>
      <c r="D5" s="58" t="s">
        <v>378</v>
      </c>
      <c r="E5" s="58"/>
      <c r="F5" s="58"/>
      <c r="G5" s="119"/>
      <c r="H5" s="119">
        <v>0</v>
      </c>
      <c r="I5" s="119">
        <v>0</v>
      </c>
      <c r="J5" s="119">
        <v>0</v>
      </c>
      <c r="K5" s="119">
        <v>0</v>
      </c>
      <c r="L5" s="119">
        <v>0</v>
      </c>
      <c r="M5" s="119">
        <v>0</v>
      </c>
      <c r="N5" s="119">
        <v>0</v>
      </c>
      <c r="O5" s="119">
        <v>0</v>
      </c>
      <c r="P5" s="119">
        <v>0</v>
      </c>
      <c r="Q5" s="119">
        <v>0</v>
      </c>
      <c r="R5" s="119">
        <v>0</v>
      </c>
      <c r="S5" s="119">
        <v>0</v>
      </c>
      <c r="T5" s="119">
        <v>0</v>
      </c>
      <c r="U5" s="119">
        <v>0</v>
      </c>
      <c r="V5" s="119">
        <v>0</v>
      </c>
      <c r="W5" s="119">
        <v>0</v>
      </c>
      <c r="X5" s="119">
        <v>0</v>
      </c>
      <c r="Y5" s="119">
        <v>0</v>
      </c>
      <c r="Z5" s="119">
        <v>0</v>
      </c>
      <c r="AA5" s="119">
        <v>0</v>
      </c>
      <c r="AB5" s="119">
        <v>0</v>
      </c>
      <c r="AC5" s="119">
        <v>0</v>
      </c>
      <c r="AD5" s="119">
        <v>0</v>
      </c>
      <c r="AE5" s="119">
        <v>0</v>
      </c>
      <c r="AF5" s="119">
        <v>0</v>
      </c>
      <c r="AG5" s="119">
        <v>0</v>
      </c>
      <c r="AH5" s="119">
        <v>0</v>
      </c>
      <c r="AI5" s="119">
        <v>0</v>
      </c>
      <c r="AJ5" s="119">
        <v>0</v>
      </c>
      <c r="AK5" s="119">
        <v>0</v>
      </c>
      <c r="AL5" s="119">
        <v>0</v>
      </c>
      <c r="AM5" s="119">
        <v>0</v>
      </c>
      <c r="AN5" s="119">
        <v>0</v>
      </c>
      <c r="AO5" s="119">
        <v>2.9800000000000001E-22</v>
      </c>
      <c r="AP5" s="119">
        <v>9.7999999999999999E-19</v>
      </c>
      <c r="AQ5" s="119">
        <v>1.2499999999999999E-21</v>
      </c>
      <c r="AR5" s="119">
        <v>1.2500000000000001E-19</v>
      </c>
      <c r="AS5" s="119">
        <v>1.69E-22</v>
      </c>
      <c r="AT5" s="119">
        <v>2.37E-22</v>
      </c>
      <c r="AU5" s="119">
        <v>2.86E-22</v>
      </c>
      <c r="AV5" s="119">
        <v>5.56664E-5</v>
      </c>
      <c r="AW5" s="119">
        <v>0.183064</v>
      </c>
      <c r="AX5" s="119">
        <v>2.3350000000000001E-4</v>
      </c>
      <c r="AY5" s="119">
        <v>1.4612499999999999E-4</v>
      </c>
      <c r="AZ5" s="61">
        <v>3.1569200000000003E-5</v>
      </c>
      <c r="BA5" s="61">
        <v>4.4271599999999998E-5</v>
      </c>
      <c r="BB5" s="61">
        <v>5.3424799999999997E-5</v>
      </c>
      <c r="BC5" s="58">
        <v>218</v>
      </c>
      <c r="BD5" s="119">
        <v>4.7564687975646899E-8</v>
      </c>
      <c r="BE5" s="119">
        <v>14569632</v>
      </c>
      <c r="BF5" s="122">
        <f t="shared" si="0"/>
        <v>14569632</v>
      </c>
      <c r="BG5" s="123">
        <v>1.7361111111111101E-5</v>
      </c>
    </row>
    <row r="6" spans="1:59">
      <c r="A6" s="60" t="s">
        <v>11</v>
      </c>
      <c r="B6" s="58" t="s">
        <v>6</v>
      </c>
      <c r="C6" s="58"/>
      <c r="D6" s="58" t="s">
        <v>378</v>
      </c>
      <c r="E6" s="58"/>
      <c r="F6" s="58"/>
      <c r="G6" s="119"/>
      <c r="H6" s="119">
        <v>0</v>
      </c>
      <c r="I6" s="119">
        <v>0</v>
      </c>
      <c r="J6" s="119">
        <v>0</v>
      </c>
      <c r="K6" s="119">
        <v>0</v>
      </c>
      <c r="L6" s="119">
        <v>0</v>
      </c>
      <c r="M6" s="119">
        <v>0</v>
      </c>
      <c r="N6" s="119">
        <v>0</v>
      </c>
      <c r="O6" s="119">
        <v>0</v>
      </c>
      <c r="P6" s="119">
        <v>0</v>
      </c>
      <c r="Q6" s="119">
        <v>0</v>
      </c>
      <c r="R6" s="119">
        <v>0</v>
      </c>
      <c r="S6" s="119">
        <v>0</v>
      </c>
      <c r="T6" s="119">
        <v>0</v>
      </c>
      <c r="U6" s="119">
        <v>0</v>
      </c>
      <c r="V6" s="119">
        <v>0</v>
      </c>
      <c r="W6" s="119">
        <v>0</v>
      </c>
      <c r="X6" s="119">
        <v>0</v>
      </c>
      <c r="Y6" s="119">
        <v>0</v>
      </c>
      <c r="Z6" s="119">
        <v>0</v>
      </c>
      <c r="AA6" s="119">
        <v>0</v>
      </c>
      <c r="AB6" s="119">
        <v>0</v>
      </c>
      <c r="AC6" s="119">
        <v>0</v>
      </c>
      <c r="AD6" s="119">
        <v>0</v>
      </c>
      <c r="AE6" s="119">
        <v>0</v>
      </c>
      <c r="AF6" s="119">
        <v>0</v>
      </c>
      <c r="AG6" s="119">
        <v>0</v>
      </c>
      <c r="AH6" s="119">
        <v>0</v>
      </c>
      <c r="AI6" s="119">
        <v>0</v>
      </c>
      <c r="AJ6" s="119">
        <v>0</v>
      </c>
      <c r="AK6" s="119">
        <v>0</v>
      </c>
      <c r="AL6" s="119">
        <v>0</v>
      </c>
      <c r="AM6" s="119">
        <v>0</v>
      </c>
      <c r="AN6" s="119">
        <v>0</v>
      </c>
      <c r="AO6" s="119">
        <v>1.8100000000000001E-17</v>
      </c>
      <c r="AP6" s="119">
        <v>2.6900000000000001E-14</v>
      </c>
      <c r="AQ6" s="119">
        <v>5.8300000000000006E-17</v>
      </c>
      <c r="AR6" s="119">
        <v>5.7700000000000001E-16</v>
      </c>
      <c r="AS6" s="119">
        <v>3.6000000000000001E-18</v>
      </c>
      <c r="AT6" s="119">
        <v>1.0300000000000001E-17</v>
      </c>
      <c r="AU6" s="119">
        <v>1.6099999999999999E-17</v>
      </c>
      <c r="AV6" s="119">
        <v>3.3810799999999999</v>
      </c>
      <c r="AW6" s="119">
        <v>5024.92</v>
      </c>
      <c r="AX6" s="119">
        <v>10.89044</v>
      </c>
      <c r="AY6" s="119">
        <v>0.67451300000000003</v>
      </c>
      <c r="AZ6" s="61">
        <v>0.67247999999999997</v>
      </c>
      <c r="BA6" s="61">
        <v>1.92404</v>
      </c>
      <c r="BB6" s="61">
        <v>3.0074800000000002</v>
      </c>
      <c r="BC6" s="58">
        <v>137</v>
      </c>
      <c r="BD6" s="119">
        <v>4.8554033485540298E-6</v>
      </c>
      <c r="BE6" s="119">
        <v>142727.58620689699</v>
      </c>
      <c r="BF6" s="122">
        <f t="shared" si="0"/>
        <v>142727.58620689699</v>
      </c>
      <c r="BG6" s="123">
        <v>1.77222222222222E-3</v>
      </c>
    </row>
    <row r="7" spans="1:59">
      <c r="A7" s="60" t="s">
        <v>12</v>
      </c>
      <c r="B7" s="120" t="s">
        <v>6</v>
      </c>
      <c r="C7" s="58"/>
      <c r="D7" s="58" t="s">
        <v>377</v>
      </c>
      <c r="E7" s="58"/>
      <c r="F7" s="58"/>
      <c r="G7" s="119">
        <v>0.1</v>
      </c>
      <c r="H7" s="119">
        <v>0.1</v>
      </c>
      <c r="I7" s="119">
        <v>1.4999999999999999E-8</v>
      </c>
      <c r="J7" s="119">
        <v>9.7200000000000003E-9</v>
      </c>
      <c r="K7" s="119">
        <v>4.8399999999999998E-9</v>
      </c>
      <c r="L7" s="119">
        <v>2.8699999999999998E-9</v>
      </c>
      <c r="M7" s="119">
        <v>1.63E-9</v>
      </c>
      <c r="N7" s="119">
        <v>1.31E-9</v>
      </c>
      <c r="O7" s="119">
        <v>1.8E-9</v>
      </c>
      <c r="P7" s="119">
        <v>1.8E-9</v>
      </c>
      <c r="Q7" s="119">
        <v>5.5500000000000001E-5</v>
      </c>
      <c r="R7" s="119">
        <v>3.5964000000000003E-5</v>
      </c>
      <c r="S7" s="119">
        <v>1.7907999999999999E-5</v>
      </c>
      <c r="T7" s="119">
        <v>1.0618999999999999E-5</v>
      </c>
      <c r="U7" s="119">
        <v>6.0310000000000004E-6</v>
      </c>
      <c r="V7" s="119">
        <v>4.8470000000000003E-6</v>
      </c>
      <c r="W7" s="119">
        <v>6.6599999999999998E-6</v>
      </c>
      <c r="X7" s="119">
        <v>6.6599999999999998E-6</v>
      </c>
      <c r="Y7" s="119">
        <v>5.6100000000000001E-7</v>
      </c>
      <c r="Z7" s="119">
        <v>4.3799999999999998E-7</v>
      </c>
      <c r="AA7" s="119">
        <v>2.7300000000000002E-7</v>
      </c>
      <c r="AB7" s="119">
        <v>1.86E-7</v>
      </c>
      <c r="AC7" s="119">
        <v>1.5900000000000001E-7</v>
      </c>
      <c r="AD7" s="119">
        <v>1.3300000000000001E-7</v>
      </c>
      <c r="AE7" s="119">
        <v>1.4600000000000001E-7</v>
      </c>
      <c r="AF7" s="119">
        <v>1.4600000000000001E-7</v>
      </c>
      <c r="AG7" s="119">
        <v>2.0757000000000002E-3</v>
      </c>
      <c r="AH7" s="119">
        <v>1.6206E-3</v>
      </c>
      <c r="AI7" s="119">
        <v>1.0101000000000001E-3</v>
      </c>
      <c r="AJ7" s="119">
        <v>6.8820000000000003E-4</v>
      </c>
      <c r="AK7" s="119">
        <v>5.8830000000000004E-4</v>
      </c>
      <c r="AL7" s="119">
        <v>4.9209999999999998E-4</v>
      </c>
      <c r="AM7" s="119">
        <v>5.4020000000000001E-4</v>
      </c>
      <c r="AN7" s="119">
        <v>5.4020000000000001E-4</v>
      </c>
      <c r="AO7" s="119">
        <v>2.9299999999999998E-20</v>
      </c>
      <c r="AP7" s="119">
        <v>2.58E-16</v>
      </c>
      <c r="AQ7" s="119">
        <v>2.9800000000000002E-19</v>
      </c>
      <c r="AR7" s="119">
        <v>3.51E-17</v>
      </c>
      <c r="AS7" s="119">
        <v>1.6800000000000001E-20</v>
      </c>
      <c r="AT7" s="119">
        <v>2.43E-20</v>
      </c>
      <c r="AU7" s="119">
        <v>2.8700000000000002E-20</v>
      </c>
      <c r="AV7" s="119">
        <v>5.4732399999999999E-3</v>
      </c>
      <c r="AW7" s="119">
        <v>48.194400000000002</v>
      </c>
      <c r="AX7" s="119">
        <v>5.5666399999999998E-2</v>
      </c>
      <c r="AY7" s="119">
        <v>4.1031900000000003E-2</v>
      </c>
      <c r="AZ7" s="61">
        <v>3.13824E-3</v>
      </c>
      <c r="BA7" s="61">
        <v>4.5392399999999999E-3</v>
      </c>
      <c r="BB7" s="61">
        <v>5.3611600000000002E-3</v>
      </c>
      <c r="BC7" s="58">
        <v>210</v>
      </c>
      <c r="BD7" s="119">
        <v>1.37342465753425E-2</v>
      </c>
      <c r="BE7" s="119">
        <v>50.457809694793497</v>
      </c>
      <c r="BF7" s="122">
        <f t="shared" si="0"/>
        <v>50.457809694793497</v>
      </c>
      <c r="BG7" s="123">
        <v>5.0129999999999999</v>
      </c>
    </row>
    <row r="8" spans="1:59">
      <c r="A8" s="60" t="s">
        <v>13</v>
      </c>
      <c r="B8" s="58" t="s">
        <v>6</v>
      </c>
      <c r="C8" s="58"/>
      <c r="D8" s="58" t="s">
        <v>377</v>
      </c>
      <c r="E8" s="58"/>
      <c r="F8" s="58"/>
      <c r="G8" s="119">
        <v>0.1</v>
      </c>
      <c r="H8" s="119">
        <v>0.1</v>
      </c>
      <c r="I8" s="119">
        <v>2.5099999999999998E-9</v>
      </c>
      <c r="J8" s="119">
        <v>1.39E-9</v>
      </c>
      <c r="K8" s="119">
        <v>6.7500000000000005E-10</v>
      </c>
      <c r="L8" s="119">
        <v>3.8600000000000001E-10</v>
      </c>
      <c r="M8" s="119">
        <v>2.5200000000000001E-10</v>
      </c>
      <c r="N8" s="119">
        <v>1.9799999999999999E-10</v>
      </c>
      <c r="O8" s="119">
        <v>2.6800000000000001E-10</v>
      </c>
      <c r="P8" s="119">
        <v>2.6800000000000001E-10</v>
      </c>
      <c r="Q8" s="119">
        <v>9.2869999999999993E-6</v>
      </c>
      <c r="R8" s="119">
        <v>5.1429999999999997E-6</v>
      </c>
      <c r="S8" s="119">
        <v>2.4974999999999998E-6</v>
      </c>
      <c r="T8" s="119">
        <v>1.4281999999999999E-6</v>
      </c>
      <c r="U8" s="119">
        <v>9.3239999999999996E-7</v>
      </c>
      <c r="V8" s="119">
        <v>7.3259999999999998E-7</v>
      </c>
      <c r="W8" s="119">
        <v>9.9159999999999996E-7</v>
      </c>
      <c r="X8" s="119">
        <v>9.9159999999999996E-7</v>
      </c>
      <c r="Y8" s="119">
        <v>1.7100000000000001E-7</v>
      </c>
      <c r="Z8" s="119">
        <v>1.2200000000000001E-7</v>
      </c>
      <c r="AA8" s="119">
        <v>6.43E-8</v>
      </c>
      <c r="AB8" s="119">
        <v>4.6999999999999997E-8</v>
      </c>
      <c r="AC8" s="119">
        <v>3.8899999999999998E-8</v>
      </c>
      <c r="AD8" s="119">
        <v>3.2000000000000002E-8</v>
      </c>
      <c r="AE8" s="119">
        <v>3.55E-8</v>
      </c>
      <c r="AF8" s="119">
        <v>3.55E-8</v>
      </c>
      <c r="AG8" s="119">
        <v>6.3270000000000004E-4</v>
      </c>
      <c r="AH8" s="119">
        <v>4.5140000000000002E-4</v>
      </c>
      <c r="AI8" s="119">
        <v>2.3791E-4</v>
      </c>
      <c r="AJ8" s="119">
        <v>1.739E-4</v>
      </c>
      <c r="AK8" s="119">
        <v>1.4393000000000001E-4</v>
      </c>
      <c r="AL8" s="119">
        <v>1.184E-4</v>
      </c>
      <c r="AM8" s="119">
        <v>1.3134999999999999E-4</v>
      </c>
      <c r="AN8" s="119">
        <v>1.3134999999999999E-4</v>
      </c>
      <c r="AO8" s="119">
        <v>3.6799999999999997E-18</v>
      </c>
      <c r="AP8" s="119">
        <v>5.9400000000000003E-15</v>
      </c>
      <c r="AQ8" s="119">
        <v>1.2600000000000001E-17</v>
      </c>
      <c r="AR8" s="119">
        <v>1.64E-16</v>
      </c>
      <c r="AS8" s="119">
        <v>7.9500000000000001E-19</v>
      </c>
      <c r="AT8" s="119">
        <v>2.2200000000000001E-18</v>
      </c>
      <c r="AU8" s="119">
        <v>3.3700000000000002E-18</v>
      </c>
      <c r="AV8" s="119">
        <v>0.68742400000000004</v>
      </c>
      <c r="AW8" s="119">
        <v>1109.5920000000001</v>
      </c>
      <c r="AX8" s="119">
        <v>2.3536800000000002</v>
      </c>
      <c r="AY8" s="119">
        <v>0.191716</v>
      </c>
      <c r="AZ8" s="61">
        <v>0.148506</v>
      </c>
      <c r="BA8" s="61">
        <v>0.41469600000000001</v>
      </c>
      <c r="BB8" s="61">
        <v>0.62951599999999996</v>
      </c>
      <c r="BC8" s="58">
        <v>213</v>
      </c>
      <c r="BD8" s="119">
        <v>8.6738964992389594E-5</v>
      </c>
      <c r="BE8" s="119">
        <v>7989.4889230094304</v>
      </c>
      <c r="BF8" s="122">
        <f t="shared" si="0"/>
        <v>7989.4889230094304</v>
      </c>
      <c r="BG8" s="123">
        <v>3.16597222222222E-2</v>
      </c>
    </row>
    <row r="9" spans="1:59">
      <c r="A9" s="60" t="s">
        <v>14</v>
      </c>
      <c r="B9" s="120" t="s">
        <v>6</v>
      </c>
      <c r="C9" s="58"/>
      <c r="D9" s="58" t="s">
        <v>377</v>
      </c>
      <c r="E9" s="58"/>
      <c r="F9" s="58"/>
      <c r="G9" s="119">
        <v>0.1</v>
      </c>
      <c r="H9" s="119">
        <v>0.1</v>
      </c>
      <c r="I9" s="119">
        <v>1.37E-9</v>
      </c>
      <c r="J9" s="119">
        <v>7.5199999999999999E-10</v>
      </c>
      <c r="K9" s="119">
        <v>3.6700000000000003E-10</v>
      </c>
      <c r="L9" s="119">
        <v>2.1E-10</v>
      </c>
      <c r="M9" s="119">
        <v>1.42E-10</v>
      </c>
      <c r="N9" s="119">
        <v>1.12E-10</v>
      </c>
      <c r="O9" s="119">
        <v>1.49E-10</v>
      </c>
      <c r="P9" s="119">
        <v>1.49E-10</v>
      </c>
      <c r="Q9" s="119">
        <v>5.0690000000000001E-6</v>
      </c>
      <c r="R9" s="119">
        <v>2.7823999999999998E-6</v>
      </c>
      <c r="S9" s="119">
        <v>1.3579E-6</v>
      </c>
      <c r="T9" s="119">
        <v>7.7700000000000004E-7</v>
      </c>
      <c r="U9" s="119">
        <v>5.2539999999999998E-7</v>
      </c>
      <c r="V9" s="119">
        <v>4.144E-7</v>
      </c>
      <c r="W9" s="119">
        <v>5.5130000000000002E-7</v>
      </c>
      <c r="X9" s="119">
        <v>5.5130000000000002E-7</v>
      </c>
      <c r="Y9" s="119">
        <v>9.2399999999999994E-8</v>
      </c>
      <c r="Z9" s="119">
        <v>6.5299999999999996E-8</v>
      </c>
      <c r="AA9" s="119">
        <v>3.2600000000000001E-8</v>
      </c>
      <c r="AB9" s="119">
        <v>2.3499999999999999E-8</v>
      </c>
      <c r="AC9" s="119">
        <v>1.8399999999999999E-8</v>
      </c>
      <c r="AD9" s="119">
        <v>1.5399999999999999E-8</v>
      </c>
      <c r="AE9" s="119">
        <v>1.7199999999999999E-8</v>
      </c>
      <c r="AF9" s="119">
        <v>1.7199999999999999E-8</v>
      </c>
      <c r="AG9" s="119">
        <v>3.4188000000000003E-4</v>
      </c>
      <c r="AH9" s="119">
        <v>2.4161000000000001E-4</v>
      </c>
      <c r="AI9" s="119">
        <v>1.2061999999999999E-4</v>
      </c>
      <c r="AJ9" s="119">
        <v>8.6949999999999999E-5</v>
      </c>
      <c r="AK9" s="119">
        <v>6.8079999999999999E-5</v>
      </c>
      <c r="AL9" s="119">
        <v>5.698E-5</v>
      </c>
      <c r="AM9" s="119">
        <v>6.3639999999999994E-5</v>
      </c>
      <c r="AN9" s="119">
        <v>3.6600000000000002E-5</v>
      </c>
      <c r="AO9" s="119">
        <v>4.8899999999999997E-17</v>
      </c>
      <c r="AP9" s="119">
        <v>7.1099999999999995E-14</v>
      </c>
      <c r="AQ9" s="119">
        <v>1.5399999999999999E-16</v>
      </c>
      <c r="AR9" s="119">
        <v>1.42E-15</v>
      </c>
      <c r="AS9" s="119">
        <v>8.7199999999999998E-18</v>
      </c>
      <c r="AT9" s="119">
        <v>2.5200000000000001E-17</v>
      </c>
      <c r="AU9" s="119">
        <v>4.0799999999999999E-17</v>
      </c>
      <c r="AV9" s="119">
        <v>9.1345200000000002</v>
      </c>
      <c r="AW9" s="119">
        <v>13281.48</v>
      </c>
      <c r="AX9" s="119">
        <v>28.767199999999999</v>
      </c>
      <c r="AY9" s="119">
        <v>1.65998</v>
      </c>
      <c r="AZ9" s="61">
        <v>1.6288959999999999</v>
      </c>
      <c r="BA9" s="61">
        <v>4.7073600000000004</v>
      </c>
      <c r="BB9" s="61">
        <v>7.6214399999999998</v>
      </c>
      <c r="BC9" s="58">
        <v>214</v>
      </c>
      <c r="BD9" s="119">
        <v>3.7861491628614902E-5</v>
      </c>
      <c r="BE9" s="119">
        <v>18303.557788944701</v>
      </c>
      <c r="BF9" s="122">
        <f t="shared" si="0"/>
        <v>18303.557788944701</v>
      </c>
      <c r="BG9" s="123">
        <v>1.38194444444444E-2</v>
      </c>
    </row>
    <row r="10" spans="1:59">
      <c r="A10" s="62" t="s">
        <v>15</v>
      </c>
      <c r="B10" s="58" t="s">
        <v>8</v>
      </c>
      <c r="C10" s="58"/>
      <c r="D10" s="58" t="s">
        <v>377</v>
      </c>
      <c r="E10" s="58"/>
      <c r="F10" s="58"/>
      <c r="G10" s="119">
        <v>1</v>
      </c>
      <c r="H10" s="119">
        <v>0.02</v>
      </c>
      <c r="I10" s="119">
        <v>2.11E-8</v>
      </c>
      <c r="J10" s="119">
        <v>1.24E-8</v>
      </c>
      <c r="K10" s="119">
        <v>9.7100000000000006E-9</v>
      </c>
      <c r="L10" s="119">
        <v>1.02E-8</v>
      </c>
      <c r="M10" s="119">
        <v>1.3399999999999999E-8</v>
      </c>
      <c r="N10" s="119">
        <v>1.3599999999999999E-8</v>
      </c>
      <c r="O10" s="119">
        <v>1.33E-8</v>
      </c>
      <c r="P10" s="119">
        <v>1.33E-8</v>
      </c>
      <c r="Q10" s="119">
        <v>7.8070000000000003E-5</v>
      </c>
      <c r="R10" s="119">
        <v>4.5880000000000001E-5</v>
      </c>
      <c r="S10" s="119">
        <v>3.5926999999999997E-5</v>
      </c>
      <c r="T10" s="119">
        <v>3.7740000000000001E-5</v>
      </c>
      <c r="U10" s="119">
        <v>4.9580000000000003E-5</v>
      </c>
      <c r="V10" s="119">
        <v>5.0319999999999999E-5</v>
      </c>
      <c r="W10" s="119">
        <v>4.9209999999999998E-5</v>
      </c>
      <c r="X10" s="119">
        <v>4.9209999999999998E-5</v>
      </c>
      <c r="Y10" s="119">
        <v>1.1000000000000001E-7</v>
      </c>
      <c r="Z10" s="119">
        <v>1.03E-7</v>
      </c>
      <c r="AA10" s="119">
        <v>6.9800000000000003E-8</v>
      </c>
      <c r="AB10" s="119">
        <v>4.7600000000000003E-8</v>
      </c>
      <c r="AC10" s="119">
        <v>4.14E-8</v>
      </c>
      <c r="AD10" s="119">
        <v>3.9400000000000002E-8</v>
      </c>
      <c r="AE10" s="119">
        <v>4.1700000000000003E-8</v>
      </c>
      <c r="AF10" s="119">
        <v>4.1700000000000003E-8</v>
      </c>
      <c r="AG10" s="119">
        <v>4.0700000000000003E-4</v>
      </c>
      <c r="AH10" s="119">
        <v>3.8109999999999999E-4</v>
      </c>
      <c r="AI10" s="119">
        <v>2.5826000000000001E-4</v>
      </c>
      <c r="AJ10" s="119">
        <v>1.7611999999999999E-4</v>
      </c>
      <c r="AK10" s="119">
        <v>1.5317999999999999E-4</v>
      </c>
      <c r="AL10" s="119">
        <v>1.4578E-4</v>
      </c>
      <c r="AM10" s="119">
        <v>1.5428999999999999E-4</v>
      </c>
      <c r="AN10" s="119">
        <v>1.5428999999999999E-4</v>
      </c>
      <c r="AO10" s="119">
        <v>4.6500000000000001E-21</v>
      </c>
      <c r="AP10" s="119">
        <v>9.3999999999999999E-17</v>
      </c>
      <c r="AQ10" s="119">
        <v>1.0499999999999999E-19</v>
      </c>
      <c r="AR10" s="119">
        <v>3.1299999999999999E-18</v>
      </c>
      <c r="AS10" s="119">
        <v>2.1499999999999999E-21</v>
      </c>
      <c r="AT10" s="119">
        <v>3.7500000000000004E-21</v>
      </c>
      <c r="AU10" s="119">
        <v>4.5700000000000003E-21</v>
      </c>
      <c r="AV10" s="119">
        <v>8.6861999999999996E-4</v>
      </c>
      <c r="AW10" s="119">
        <v>17.559200000000001</v>
      </c>
      <c r="AX10" s="119">
        <v>1.9613999999999999E-2</v>
      </c>
      <c r="AY10" s="119">
        <v>3.6589700000000001E-3</v>
      </c>
      <c r="AZ10" s="61">
        <v>4.0161999999999999E-4</v>
      </c>
      <c r="BA10" s="61">
        <v>7.0049999999999995E-4</v>
      </c>
      <c r="BB10" s="61">
        <v>8.5367600000000004E-4</v>
      </c>
      <c r="BC10" s="58">
        <v>137</v>
      </c>
      <c r="BD10" s="119">
        <v>30.167100000000001</v>
      </c>
      <c r="BE10" s="119">
        <v>2.2972045705420802E-2</v>
      </c>
      <c r="BF10" s="122">
        <f t="shared" si="0"/>
        <v>1.0115299987062556</v>
      </c>
      <c r="BG10" s="123">
        <v>11010.9915</v>
      </c>
    </row>
    <row r="11" spans="1:59">
      <c r="A11" s="60" t="s">
        <v>16</v>
      </c>
      <c r="B11" s="58" t="s">
        <v>6</v>
      </c>
      <c r="C11" s="58"/>
      <c r="D11" s="58" t="s">
        <v>378</v>
      </c>
      <c r="E11" s="58"/>
      <c r="F11" s="58"/>
      <c r="G11" s="119"/>
      <c r="H11" s="119">
        <v>0</v>
      </c>
      <c r="I11" s="119">
        <v>0</v>
      </c>
      <c r="J11" s="119">
        <v>0</v>
      </c>
      <c r="K11" s="119">
        <v>0</v>
      </c>
      <c r="L11" s="119">
        <v>0</v>
      </c>
      <c r="M11" s="119">
        <v>0</v>
      </c>
      <c r="N11" s="119">
        <v>0</v>
      </c>
      <c r="O11" s="119">
        <v>0</v>
      </c>
      <c r="P11" s="119">
        <v>0</v>
      </c>
      <c r="Q11" s="119">
        <v>0</v>
      </c>
      <c r="R11" s="119">
        <v>0</v>
      </c>
      <c r="S11" s="119">
        <v>0</v>
      </c>
      <c r="T11" s="119">
        <v>0</v>
      </c>
      <c r="U11" s="119">
        <v>0</v>
      </c>
      <c r="V11" s="119">
        <v>0</v>
      </c>
      <c r="W11" s="119">
        <v>0</v>
      </c>
      <c r="X11" s="119">
        <v>0</v>
      </c>
      <c r="Y11" s="119">
        <v>0</v>
      </c>
      <c r="Z11" s="119">
        <v>0</v>
      </c>
      <c r="AA11" s="119">
        <v>0</v>
      </c>
      <c r="AB11" s="119">
        <v>0</v>
      </c>
      <c r="AC11" s="119">
        <v>0</v>
      </c>
      <c r="AD11" s="119">
        <v>0</v>
      </c>
      <c r="AE11" s="119">
        <v>0</v>
      </c>
      <c r="AF11" s="119">
        <v>0</v>
      </c>
      <c r="AG11" s="119">
        <v>0</v>
      </c>
      <c r="AH11" s="119">
        <v>0</v>
      </c>
      <c r="AI11" s="119">
        <v>0</v>
      </c>
      <c r="AJ11" s="119">
        <v>0</v>
      </c>
      <c r="AK11" s="119">
        <v>0</v>
      </c>
      <c r="AL11" s="119">
        <v>0</v>
      </c>
      <c r="AM11" s="119">
        <v>0</v>
      </c>
      <c r="AN11" s="119">
        <v>0</v>
      </c>
      <c r="AO11" s="119">
        <v>7.1299999999999998E-19</v>
      </c>
      <c r="AP11" s="119">
        <v>1.25E-15</v>
      </c>
      <c r="AQ11" s="119">
        <v>2.75E-18</v>
      </c>
      <c r="AR11" s="119">
        <v>2.69E-17</v>
      </c>
      <c r="AS11" s="119">
        <v>1.71E-19</v>
      </c>
      <c r="AT11" s="119">
        <v>4.7799999999999998E-19</v>
      </c>
      <c r="AU11" s="119">
        <v>6.8600000000000005E-19</v>
      </c>
      <c r="AV11" s="119">
        <v>0.13318840000000001</v>
      </c>
      <c r="AW11" s="119">
        <v>233.5</v>
      </c>
      <c r="AX11" s="119">
        <v>0.51370000000000005</v>
      </c>
      <c r="AY11" s="119">
        <v>3.1446099999999998E-2</v>
      </c>
      <c r="AZ11" s="61">
        <v>3.19428E-2</v>
      </c>
      <c r="BA11" s="61">
        <v>8.9290400000000006E-2</v>
      </c>
      <c r="BB11" s="61">
        <v>0.1281448</v>
      </c>
      <c r="BC11" s="58">
        <v>221</v>
      </c>
      <c r="BD11" s="119">
        <v>9.3226788432267907E-6</v>
      </c>
      <c r="BE11" s="119">
        <v>74334.857142857101</v>
      </c>
      <c r="BF11" s="122">
        <f t="shared" ref="BF11:BF12" si="1">IFERROR((t_com*BE11)/(1-EXP(-BE11*t_com)),".")</f>
        <v>74334.857142857101</v>
      </c>
      <c r="BG11" s="123">
        <v>3.4027777777777802E-3</v>
      </c>
    </row>
    <row r="12" spans="1:59">
      <c r="A12" s="60" t="s">
        <v>17</v>
      </c>
      <c r="B12" s="120" t="s">
        <v>6</v>
      </c>
      <c r="C12" s="58"/>
      <c r="D12" s="58" t="s">
        <v>378</v>
      </c>
      <c r="E12" s="58"/>
      <c r="F12" s="58"/>
      <c r="G12" s="119"/>
      <c r="H12" s="119">
        <v>0</v>
      </c>
      <c r="I12" s="119">
        <v>0</v>
      </c>
      <c r="J12" s="119">
        <v>0</v>
      </c>
      <c r="K12" s="119">
        <v>0</v>
      </c>
      <c r="L12" s="119">
        <v>0</v>
      </c>
      <c r="M12" s="119">
        <v>0</v>
      </c>
      <c r="N12" s="119">
        <v>0</v>
      </c>
      <c r="O12" s="119">
        <v>0</v>
      </c>
      <c r="P12" s="119">
        <v>0</v>
      </c>
      <c r="Q12" s="119">
        <v>0</v>
      </c>
      <c r="R12" s="119">
        <v>0</v>
      </c>
      <c r="S12" s="119">
        <v>0</v>
      </c>
      <c r="T12" s="119">
        <v>0</v>
      </c>
      <c r="U12" s="119">
        <v>0</v>
      </c>
      <c r="V12" s="119">
        <v>0</v>
      </c>
      <c r="W12" s="119">
        <v>0</v>
      </c>
      <c r="X12" s="119">
        <v>0</v>
      </c>
      <c r="Y12" s="119">
        <v>0</v>
      </c>
      <c r="Z12" s="119">
        <v>0</v>
      </c>
      <c r="AA12" s="119">
        <v>0</v>
      </c>
      <c r="AB12" s="119">
        <v>0</v>
      </c>
      <c r="AC12" s="119">
        <v>0</v>
      </c>
      <c r="AD12" s="119">
        <v>0</v>
      </c>
      <c r="AE12" s="119">
        <v>0</v>
      </c>
      <c r="AF12" s="119">
        <v>0</v>
      </c>
      <c r="AG12" s="119">
        <v>0</v>
      </c>
      <c r="AH12" s="119">
        <v>0</v>
      </c>
      <c r="AI12" s="119">
        <v>0</v>
      </c>
      <c r="AJ12" s="119">
        <v>0</v>
      </c>
      <c r="AK12" s="119">
        <v>0</v>
      </c>
      <c r="AL12" s="119">
        <v>0</v>
      </c>
      <c r="AM12" s="119">
        <v>0</v>
      </c>
      <c r="AN12" s="119">
        <v>0</v>
      </c>
      <c r="AO12" s="119">
        <v>3.2799999999999999E-18</v>
      </c>
      <c r="AP12" s="119">
        <v>5.5599999999999996E-15</v>
      </c>
      <c r="AQ12" s="119">
        <v>1.19E-17</v>
      </c>
      <c r="AR12" s="119">
        <v>1.4900000000000001E-16</v>
      </c>
      <c r="AS12" s="119">
        <v>7.4199999999999998E-19</v>
      </c>
      <c r="AT12" s="119">
        <v>2.0700000000000002E-18</v>
      </c>
      <c r="AU12" s="119">
        <v>3.0699999999999998E-18</v>
      </c>
      <c r="AV12" s="119">
        <v>0.61270400000000003</v>
      </c>
      <c r="AW12" s="119">
        <v>1038.6079999999999</v>
      </c>
      <c r="AX12" s="119">
        <v>2.2229199999999998</v>
      </c>
      <c r="AY12" s="119">
        <v>0.174181</v>
      </c>
      <c r="AZ12" s="61">
        <v>0.1386056</v>
      </c>
      <c r="BA12" s="61">
        <v>0.38667600000000002</v>
      </c>
      <c r="BB12" s="61">
        <v>0.57347599999999999</v>
      </c>
      <c r="BC12" s="58">
        <v>206</v>
      </c>
      <c r="BD12" s="119">
        <v>1.5506088280060901E-5</v>
      </c>
      <c r="BE12" s="119">
        <v>44692.122699386498</v>
      </c>
      <c r="BF12" s="122">
        <f t="shared" si="1"/>
        <v>44692.122699386498</v>
      </c>
      <c r="BG12" s="123">
        <v>5.6597222222222196E-3</v>
      </c>
    </row>
    <row r="13" spans="1:59">
      <c r="A13" s="60" t="s">
        <v>18</v>
      </c>
      <c r="B13" s="58" t="s">
        <v>6</v>
      </c>
      <c r="C13" s="58"/>
      <c r="D13" s="58" t="s">
        <v>377</v>
      </c>
      <c r="E13" s="58"/>
      <c r="F13" s="58"/>
      <c r="G13" s="119">
        <v>5.0000000000000001E-3</v>
      </c>
      <c r="H13" s="119">
        <v>5.0000000000000001E-3</v>
      </c>
      <c r="I13" s="119">
        <v>1.9999999999999999E-6</v>
      </c>
      <c r="J13" s="119">
        <v>2.1199999999999999E-7</v>
      </c>
      <c r="K13" s="119">
        <v>1.43E-7</v>
      </c>
      <c r="L13" s="119">
        <v>1.15E-7</v>
      </c>
      <c r="M13" s="119">
        <v>1.08E-7</v>
      </c>
      <c r="N13" s="119">
        <v>1.0700000000000001E-7</v>
      </c>
      <c r="O13" s="119">
        <v>1.2499999999999999E-7</v>
      </c>
      <c r="P13" s="119">
        <v>1.2499999999999999E-7</v>
      </c>
      <c r="Q13" s="119">
        <v>7.4000000000000003E-3</v>
      </c>
      <c r="R13" s="119">
        <v>7.8439999999999998E-4</v>
      </c>
      <c r="S13" s="119">
        <v>5.2910000000000001E-4</v>
      </c>
      <c r="T13" s="119">
        <v>4.2549999999999999E-4</v>
      </c>
      <c r="U13" s="119">
        <v>3.9960000000000001E-4</v>
      </c>
      <c r="V13" s="119">
        <v>3.9589999999999997E-4</v>
      </c>
      <c r="W13" s="119">
        <v>4.6250000000000002E-4</v>
      </c>
      <c r="X13" s="119">
        <v>4.6250000000000002E-4</v>
      </c>
      <c r="Y13" s="119">
        <v>3.6600000000000002E-5</v>
      </c>
      <c r="Z13" s="119">
        <v>3.1900000000000003E-5</v>
      </c>
      <c r="AA13" s="119">
        <v>2.1299999999999999E-5</v>
      </c>
      <c r="AB13" s="119">
        <v>1.4399999999999999E-5</v>
      </c>
      <c r="AC13" s="119">
        <v>1.26E-5</v>
      </c>
      <c r="AD13" s="119">
        <v>1.19E-5</v>
      </c>
      <c r="AE13" s="119">
        <v>1.26E-5</v>
      </c>
      <c r="AF13" s="119">
        <v>1.26E-5</v>
      </c>
      <c r="AG13" s="119">
        <v>0.13542000000000001</v>
      </c>
      <c r="AH13" s="119">
        <v>0.11803</v>
      </c>
      <c r="AI13" s="119">
        <v>7.8810000000000005E-2</v>
      </c>
      <c r="AJ13" s="119">
        <v>5.3280000000000001E-2</v>
      </c>
      <c r="AK13" s="119">
        <v>4.6620000000000002E-2</v>
      </c>
      <c r="AL13" s="119">
        <v>4.403E-2</v>
      </c>
      <c r="AM13" s="119">
        <v>4.6620000000000002E-2</v>
      </c>
      <c r="AN13" s="119">
        <v>4.6620000000000002E-2</v>
      </c>
      <c r="AO13" s="119">
        <v>3.5899999999999998E-19</v>
      </c>
      <c r="AP13" s="119">
        <v>8.5999999999999997E-16</v>
      </c>
      <c r="AQ13" s="119">
        <v>1.9300000000000001E-18</v>
      </c>
      <c r="AR13" s="119">
        <v>2.44E-17</v>
      </c>
      <c r="AS13" s="119">
        <v>1.2000000000000001E-19</v>
      </c>
      <c r="AT13" s="119">
        <v>2.8600000000000001E-19</v>
      </c>
      <c r="AU13" s="119">
        <v>3.5799999999999999E-19</v>
      </c>
      <c r="AV13" s="119">
        <v>6.7061200000000001E-2</v>
      </c>
      <c r="AW13" s="119">
        <v>160.648</v>
      </c>
      <c r="AX13" s="119">
        <v>0.36052400000000001</v>
      </c>
      <c r="AY13" s="119">
        <v>2.85236E-2</v>
      </c>
      <c r="AZ13" s="61">
        <v>2.2415999999999998E-2</v>
      </c>
      <c r="BA13" s="61">
        <v>5.3424800000000001E-2</v>
      </c>
      <c r="BB13" s="61">
        <v>6.6874400000000001E-2</v>
      </c>
      <c r="BC13" s="58">
        <v>237</v>
      </c>
      <c r="BD13" s="119">
        <v>2144000</v>
      </c>
      <c r="BE13" s="119">
        <v>3.2322761194029798E-7</v>
      </c>
      <c r="BF13" s="122">
        <f t="shared" ref="BF13:BF24" si="2">IFERROR((t_com*BE13)/(1-EXP(-BE13*t_com)),".")</f>
        <v>1.0000001615663927</v>
      </c>
      <c r="BG13" s="123">
        <v>782560000</v>
      </c>
    </row>
    <row r="14" spans="1:59">
      <c r="A14" s="60" t="s">
        <v>19</v>
      </c>
      <c r="B14" s="58" t="s">
        <v>6</v>
      </c>
      <c r="C14" s="58"/>
      <c r="D14" s="58" t="s">
        <v>377</v>
      </c>
      <c r="E14" s="58"/>
      <c r="F14" s="58"/>
      <c r="G14" s="119">
        <v>5.0000000000000001E-3</v>
      </c>
      <c r="H14" s="119">
        <v>5.0000000000000001E-3</v>
      </c>
      <c r="I14" s="119">
        <v>1.07E-8</v>
      </c>
      <c r="J14" s="119">
        <v>6.8599999999999999E-9</v>
      </c>
      <c r="K14" s="119">
        <v>3.48E-9</v>
      </c>
      <c r="L14" s="119">
        <v>2.09E-9</v>
      </c>
      <c r="M14" s="119">
        <v>1.21E-9</v>
      </c>
      <c r="N14" s="119">
        <v>9.6599999999999997E-10</v>
      </c>
      <c r="O14" s="119">
        <v>1.32E-9</v>
      </c>
      <c r="P14" s="119">
        <v>1.32E-9</v>
      </c>
      <c r="Q14" s="119">
        <v>3.9589999999999999E-5</v>
      </c>
      <c r="R14" s="119">
        <v>2.5381999999999999E-5</v>
      </c>
      <c r="S14" s="119">
        <v>1.2876E-5</v>
      </c>
      <c r="T14" s="119">
        <v>7.7330000000000003E-6</v>
      </c>
      <c r="U14" s="119">
        <v>4.4769999999999997E-6</v>
      </c>
      <c r="V14" s="119">
        <v>3.5742E-6</v>
      </c>
      <c r="W14" s="119">
        <v>4.8840000000000002E-6</v>
      </c>
      <c r="X14" s="119">
        <v>4.8840000000000002E-6</v>
      </c>
      <c r="Y14" s="119">
        <v>1.7900000000000001E-8</v>
      </c>
      <c r="Z14" s="119">
        <v>1.3599999999999999E-8</v>
      </c>
      <c r="AA14" s="119">
        <v>8.0800000000000002E-9</v>
      </c>
      <c r="AB14" s="119">
        <v>5.8500000000000003E-9</v>
      </c>
      <c r="AC14" s="119">
        <v>5.21E-9</v>
      </c>
      <c r="AD14" s="119">
        <v>4.1400000000000002E-9</v>
      </c>
      <c r="AE14" s="119">
        <v>4.56E-9</v>
      </c>
      <c r="AF14" s="119">
        <v>4.56E-9</v>
      </c>
      <c r="AG14" s="119">
        <v>6.6229999999999994E-5</v>
      </c>
      <c r="AH14" s="119">
        <v>5.0319999999999999E-5</v>
      </c>
      <c r="AI14" s="119">
        <v>2.9896E-5</v>
      </c>
      <c r="AJ14" s="119">
        <v>2.1645E-5</v>
      </c>
      <c r="AK14" s="119">
        <v>1.9276999999999999E-5</v>
      </c>
      <c r="AL14" s="119">
        <v>1.5318000000000001E-5</v>
      </c>
      <c r="AM14" s="119">
        <v>1.6872E-5</v>
      </c>
      <c r="AN14" s="119">
        <v>1.6872E-5</v>
      </c>
      <c r="AO14" s="119">
        <v>5.4500000000000003E-18</v>
      </c>
      <c r="AP14" s="119">
        <v>9.2699999999999996E-15</v>
      </c>
      <c r="AQ14" s="119">
        <v>2.0300000000000001E-17</v>
      </c>
      <c r="AR14" s="119">
        <v>2.02E-16</v>
      </c>
      <c r="AS14" s="119">
        <v>1.27E-18</v>
      </c>
      <c r="AT14" s="119">
        <v>3.5299999999999997E-18</v>
      </c>
      <c r="AU14" s="119">
        <v>5.1600000000000003E-18</v>
      </c>
      <c r="AV14" s="119">
        <v>1.01806</v>
      </c>
      <c r="AW14" s="119">
        <v>1731.636</v>
      </c>
      <c r="AX14" s="119">
        <v>3.7920400000000001</v>
      </c>
      <c r="AY14" s="119">
        <v>0.23613799999999999</v>
      </c>
      <c r="AZ14" s="61">
        <v>0.237236</v>
      </c>
      <c r="BA14" s="61">
        <v>0.65940399999999999</v>
      </c>
      <c r="BB14" s="61">
        <v>0.96388799999999997</v>
      </c>
      <c r="BC14" s="58">
        <v>233</v>
      </c>
      <c r="BD14" s="119">
        <v>7.3882191780821893E-2</v>
      </c>
      <c r="BE14" s="119">
        <v>9.3797975303148302</v>
      </c>
      <c r="BF14" s="122">
        <f t="shared" si="2"/>
        <v>9.3805893673611394</v>
      </c>
      <c r="BG14" s="123">
        <v>26.966999999999999</v>
      </c>
    </row>
    <row r="15" spans="1:59">
      <c r="A15" s="60" t="s">
        <v>20</v>
      </c>
      <c r="B15" s="58" t="s">
        <v>6</v>
      </c>
      <c r="C15" s="58"/>
      <c r="D15" s="58" t="s">
        <v>377</v>
      </c>
      <c r="E15" s="58"/>
      <c r="F15" s="58"/>
      <c r="G15" s="119">
        <v>0.6</v>
      </c>
      <c r="H15" s="119">
        <v>0.02</v>
      </c>
      <c r="I15" s="119">
        <v>5.7099999999999999E-10</v>
      </c>
      <c r="J15" s="119">
        <v>3.7999999999999998E-10</v>
      </c>
      <c r="K15" s="119">
        <v>1.87E-10</v>
      </c>
      <c r="L15" s="119">
        <v>1.09E-10</v>
      </c>
      <c r="M15" s="119">
        <v>6.6500000000000003E-11</v>
      </c>
      <c r="N15" s="119">
        <v>5.6700000000000002E-11</v>
      </c>
      <c r="O15" s="119">
        <v>7.4699999999999998E-11</v>
      </c>
      <c r="P15" s="119">
        <v>7.4699999999999998E-11</v>
      </c>
      <c r="Q15" s="119">
        <v>2.1127000000000001E-6</v>
      </c>
      <c r="R15" s="119">
        <v>1.406E-6</v>
      </c>
      <c r="S15" s="119">
        <v>6.919E-7</v>
      </c>
      <c r="T15" s="119">
        <v>4.0330000000000002E-7</v>
      </c>
      <c r="U15" s="119">
        <v>2.4605000000000001E-7</v>
      </c>
      <c r="V15" s="119">
        <v>2.0979E-7</v>
      </c>
      <c r="W15" s="119">
        <v>2.7639E-7</v>
      </c>
      <c r="X15" s="119">
        <v>2.7639E-7</v>
      </c>
      <c r="Y15" s="119">
        <v>4.3599999999999999E-10</v>
      </c>
      <c r="Z15" s="119">
        <v>2.9400000000000002E-10</v>
      </c>
      <c r="AA15" s="119">
        <v>1.4399999999999999E-10</v>
      </c>
      <c r="AB15" s="119">
        <v>9.9400000000000001E-11</v>
      </c>
      <c r="AC15" s="119">
        <v>7.4600000000000006E-11</v>
      </c>
      <c r="AD15" s="119">
        <v>6.0999999999999996E-11</v>
      </c>
      <c r="AE15" s="119">
        <v>6.9799999999999994E-11</v>
      </c>
      <c r="AF15" s="119">
        <v>6.9799999999999994E-11</v>
      </c>
      <c r="AG15" s="119">
        <v>1.6132000000000001E-6</v>
      </c>
      <c r="AH15" s="119">
        <v>1.0878E-6</v>
      </c>
      <c r="AI15" s="119">
        <v>5.3280000000000001E-7</v>
      </c>
      <c r="AJ15" s="119">
        <v>3.6777999999999998E-7</v>
      </c>
      <c r="AK15" s="119">
        <v>2.7602000000000001E-7</v>
      </c>
      <c r="AL15" s="119">
        <v>2.2569999999999999E-7</v>
      </c>
      <c r="AM15" s="119">
        <v>2.5825999999999998E-7</v>
      </c>
      <c r="AN15" s="119">
        <v>2.5825999999999998E-7</v>
      </c>
      <c r="AO15" s="119">
        <v>4.03E-21</v>
      </c>
      <c r="AP15" s="119">
        <v>9.9999999999999998E-17</v>
      </c>
      <c r="AQ15" s="119">
        <v>1.1200000000000001E-19</v>
      </c>
      <c r="AR15" s="119">
        <v>3.19E-18</v>
      </c>
      <c r="AS15" s="119">
        <v>1.5799999999999999E-21</v>
      </c>
      <c r="AT15" s="119">
        <v>3.1899999999999999E-21</v>
      </c>
      <c r="AU15" s="119">
        <v>3.97E-21</v>
      </c>
      <c r="AV15" s="119">
        <v>7.5280400000000004E-4</v>
      </c>
      <c r="AW15" s="119">
        <v>18.68</v>
      </c>
      <c r="AX15" s="119">
        <v>2.0921599999999999E-2</v>
      </c>
      <c r="AY15" s="119">
        <v>3.7291099999999999E-3</v>
      </c>
      <c r="AZ15" s="61">
        <v>2.9514400000000001E-4</v>
      </c>
      <c r="BA15" s="61">
        <v>5.9589199999999999E-4</v>
      </c>
      <c r="BB15" s="61">
        <v>7.4159599999999997E-4</v>
      </c>
      <c r="BC15" s="58">
        <v>209</v>
      </c>
      <c r="BD15" s="119">
        <v>3.7134703196347002E-4</v>
      </c>
      <c r="BE15" s="119">
        <v>1866.1789117737501</v>
      </c>
      <c r="BF15" s="122">
        <f t="shared" si="2"/>
        <v>1866.1789117737501</v>
      </c>
      <c r="BG15" s="123">
        <v>0.135541666666667</v>
      </c>
    </row>
    <row r="16" spans="1:59">
      <c r="A16" s="62" t="s">
        <v>21</v>
      </c>
      <c r="B16" s="120" t="s">
        <v>6</v>
      </c>
      <c r="C16" s="58"/>
      <c r="D16" s="58" t="s">
        <v>377</v>
      </c>
      <c r="E16" s="58"/>
      <c r="F16" s="58"/>
      <c r="G16" s="119">
        <v>0.6</v>
      </c>
      <c r="H16" s="119">
        <v>0.02</v>
      </c>
      <c r="I16" s="119">
        <v>8.3299999999999999E-6</v>
      </c>
      <c r="J16" s="119">
        <v>3.6399999999999999E-6</v>
      </c>
      <c r="K16" s="119">
        <v>2.1799999999999999E-6</v>
      </c>
      <c r="L16" s="119">
        <v>1.95E-6</v>
      </c>
      <c r="M16" s="119">
        <v>1.9199999999999998E-6</v>
      </c>
      <c r="N16" s="119">
        <v>6.9599999999999999E-7</v>
      </c>
      <c r="O16" s="119">
        <v>1.02E-6</v>
      </c>
      <c r="P16" s="119">
        <v>1.02E-6</v>
      </c>
      <c r="Q16" s="119">
        <v>3.0821000000000001E-2</v>
      </c>
      <c r="R16" s="119">
        <v>1.3468000000000001E-2</v>
      </c>
      <c r="S16" s="119">
        <v>8.0660000000000003E-3</v>
      </c>
      <c r="T16" s="119">
        <v>7.2150000000000001E-3</v>
      </c>
      <c r="U16" s="119">
        <v>7.1040000000000001E-3</v>
      </c>
      <c r="V16" s="119">
        <v>2.5752000000000001E-3</v>
      </c>
      <c r="W16" s="119">
        <v>3.774E-3</v>
      </c>
      <c r="X16" s="119">
        <v>3.774E-3</v>
      </c>
      <c r="Y16" s="119">
        <v>1.8300000000000001E-5</v>
      </c>
      <c r="Z16" s="119">
        <v>1.7499999999999998E-5</v>
      </c>
      <c r="AA16" s="119">
        <v>1.15E-5</v>
      </c>
      <c r="AB16" s="119">
        <v>7.1400000000000002E-6</v>
      </c>
      <c r="AC16" s="119">
        <v>5.84E-6</v>
      </c>
      <c r="AD16" s="119">
        <v>5.6099999999999997E-6</v>
      </c>
      <c r="AE16" s="119">
        <v>6.0299999999999999E-6</v>
      </c>
      <c r="AF16" s="119">
        <v>6.0299999999999999E-6</v>
      </c>
      <c r="AG16" s="119">
        <v>6.7710000000000006E-2</v>
      </c>
      <c r="AH16" s="119">
        <v>6.4750000000000002E-2</v>
      </c>
      <c r="AI16" s="119">
        <v>4.2549999999999998E-2</v>
      </c>
      <c r="AJ16" s="119">
        <v>2.6418000000000001E-2</v>
      </c>
      <c r="AK16" s="119">
        <v>2.1607999999999999E-2</v>
      </c>
      <c r="AL16" s="119">
        <v>2.0757000000000001E-2</v>
      </c>
      <c r="AM16" s="119">
        <v>2.2311000000000001E-2</v>
      </c>
      <c r="AN16" s="119">
        <v>2.2311000000000001E-2</v>
      </c>
      <c r="AO16" s="119">
        <v>1.12E-20</v>
      </c>
      <c r="AP16" s="119">
        <v>4.7099999999999997E-17</v>
      </c>
      <c r="AQ16" s="119">
        <v>1.0900000000000001E-19</v>
      </c>
      <c r="AR16" s="119">
        <v>2.17E-18</v>
      </c>
      <c r="AS16" s="119">
        <v>7.1200000000000007E-21</v>
      </c>
      <c r="AT16" s="119">
        <v>1.1E-20</v>
      </c>
      <c r="AU16" s="119">
        <v>1.12E-20</v>
      </c>
      <c r="AV16" s="119">
        <v>2.09216E-3</v>
      </c>
      <c r="AW16" s="119">
        <v>8.7982800000000001</v>
      </c>
      <c r="AX16" s="119">
        <v>2.0361199999999999E-2</v>
      </c>
      <c r="AY16" s="119">
        <v>2.5367300000000001E-3</v>
      </c>
      <c r="AZ16" s="61">
        <v>1.3300160000000001E-3</v>
      </c>
      <c r="BA16" s="61">
        <v>2.0547999999999999E-3</v>
      </c>
      <c r="BB16" s="61">
        <v>2.09216E-3</v>
      </c>
      <c r="BC16" s="58">
        <v>210</v>
      </c>
      <c r="BD16" s="119">
        <v>22.2</v>
      </c>
      <c r="BE16" s="119">
        <v>3.1216216216216199E-2</v>
      </c>
      <c r="BF16" s="122">
        <f t="shared" si="2"/>
        <v>1.0156893111355465</v>
      </c>
      <c r="BG16" s="123">
        <v>8103</v>
      </c>
    </row>
    <row r="17" spans="1:59">
      <c r="A17" s="60" t="s">
        <v>22</v>
      </c>
      <c r="B17" s="120" t="s">
        <v>6</v>
      </c>
      <c r="C17" s="58"/>
      <c r="D17" s="58" t="s">
        <v>377</v>
      </c>
      <c r="E17" s="58"/>
      <c r="F17" s="58"/>
      <c r="G17" s="119">
        <v>0.6</v>
      </c>
      <c r="H17" s="119">
        <v>0.02</v>
      </c>
      <c r="I17" s="119">
        <v>2.1799999999999999E-9</v>
      </c>
      <c r="J17" s="119">
        <v>1.0500000000000001E-9</v>
      </c>
      <c r="K17" s="119">
        <v>5.2199999999999996E-10</v>
      </c>
      <c r="L17" s="119">
        <v>3.0700000000000003E-10</v>
      </c>
      <c r="M17" s="119">
        <v>2.03E-10</v>
      </c>
      <c r="N17" s="119">
        <v>1.3900000000000001E-10</v>
      </c>
      <c r="O17" s="119">
        <v>1.9900000000000001E-10</v>
      </c>
      <c r="P17" s="119">
        <v>1.9900000000000001E-10</v>
      </c>
      <c r="Q17" s="119">
        <v>8.0660000000000004E-6</v>
      </c>
      <c r="R17" s="119">
        <v>3.8850000000000001E-6</v>
      </c>
      <c r="S17" s="119">
        <v>1.9313999999999998E-6</v>
      </c>
      <c r="T17" s="119">
        <v>1.1359E-6</v>
      </c>
      <c r="U17" s="119">
        <v>7.511E-7</v>
      </c>
      <c r="V17" s="119">
        <v>5.1429999999999999E-7</v>
      </c>
      <c r="W17" s="119">
        <v>7.3630000000000005E-7</v>
      </c>
      <c r="X17" s="119">
        <v>7.3630000000000005E-7</v>
      </c>
      <c r="Y17" s="119">
        <v>6.9199999999999998E-8</v>
      </c>
      <c r="Z17" s="119">
        <v>5.0099999999999999E-8</v>
      </c>
      <c r="AA17" s="119">
        <v>2.81E-8</v>
      </c>
      <c r="AB17" s="119">
        <v>2.07E-8</v>
      </c>
      <c r="AC17" s="119">
        <v>1.5300000000000001E-8</v>
      </c>
      <c r="AD17" s="119">
        <v>1.4699999999999999E-8</v>
      </c>
      <c r="AE17" s="119">
        <v>1.6000000000000001E-8</v>
      </c>
      <c r="AF17" s="119">
        <v>1.6000000000000001E-8</v>
      </c>
      <c r="AG17" s="119">
        <v>2.5604000000000002E-4</v>
      </c>
      <c r="AH17" s="119">
        <v>1.8537E-4</v>
      </c>
      <c r="AI17" s="119">
        <v>1.0397E-4</v>
      </c>
      <c r="AJ17" s="119">
        <v>7.6589999999999997E-5</v>
      </c>
      <c r="AK17" s="119">
        <v>5.6610000000000002E-5</v>
      </c>
      <c r="AL17" s="119">
        <v>5.4389999999999999E-5</v>
      </c>
      <c r="AM17" s="119">
        <v>5.9200000000000002E-5</v>
      </c>
      <c r="AN17" s="119">
        <v>4.6600000000000001E-5</v>
      </c>
      <c r="AO17" s="119">
        <v>6.7299999999999996E-18</v>
      </c>
      <c r="AP17" s="119">
        <v>1.11E-14</v>
      </c>
      <c r="AQ17" s="119">
        <v>2.41E-17</v>
      </c>
      <c r="AR17" s="119">
        <v>2.43E-16</v>
      </c>
      <c r="AS17" s="119">
        <v>1.4999999999999999E-18</v>
      </c>
      <c r="AT17" s="119">
        <v>4.2299999999999998E-18</v>
      </c>
      <c r="AU17" s="119">
        <v>6.2899999999999997E-18</v>
      </c>
      <c r="AV17" s="119">
        <v>1.2571639999999999</v>
      </c>
      <c r="AW17" s="119">
        <v>2073.48</v>
      </c>
      <c r="AX17" s="119">
        <v>4.5018799999999999</v>
      </c>
      <c r="AY17" s="119">
        <v>0.28406700000000001</v>
      </c>
      <c r="AZ17" s="61">
        <v>0.2802</v>
      </c>
      <c r="BA17" s="61">
        <v>0.79016399999999998</v>
      </c>
      <c r="BB17" s="61">
        <v>1.1749719999999999</v>
      </c>
      <c r="BC17" s="58">
        <v>214</v>
      </c>
      <c r="BD17" s="119">
        <v>5.0989345509893397E-5</v>
      </c>
      <c r="BE17" s="119">
        <v>13591.0746268657</v>
      </c>
      <c r="BF17" s="122">
        <f t="shared" si="2"/>
        <v>13591.0746268657</v>
      </c>
      <c r="BG17" s="123">
        <v>1.8611111111111099E-2</v>
      </c>
    </row>
    <row r="18" spans="1:59">
      <c r="A18" s="60" t="s">
        <v>23</v>
      </c>
      <c r="B18" s="120" t="s">
        <v>6</v>
      </c>
      <c r="C18" s="58"/>
      <c r="D18" s="58" t="s">
        <v>377</v>
      </c>
      <c r="E18" s="58" t="s">
        <v>380</v>
      </c>
      <c r="F18" s="58"/>
      <c r="G18" s="119">
        <v>1</v>
      </c>
      <c r="H18" s="119">
        <v>0.02</v>
      </c>
      <c r="I18" s="119">
        <v>2.6100000000000001E-5</v>
      </c>
      <c r="J18" s="119">
        <v>8.8100000000000004E-6</v>
      </c>
      <c r="K18" s="119">
        <v>4.3800000000000004E-6</v>
      </c>
      <c r="L18" s="119">
        <v>2.5900000000000002E-6</v>
      </c>
      <c r="M18" s="119">
        <v>1.57E-6</v>
      </c>
      <c r="N18" s="119">
        <v>1.2100000000000001E-6</v>
      </c>
      <c r="O18" s="119">
        <v>1.75E-6</v>
      </c>
      <c r="P18" s="119">
        <v>1.75E-6</v>
      </c>
      <c r="Q18" s="119">
        <v>9.6570000000000003E-2</v>
      </c>
      <c r="R18" s="119">
        <v>3.2597000000000001E-2</v>
      </c>
      <c r="S18" s="119">
        <v>1.6206000000000002E-2</v>
      </c>
      <c r="T18" s="119">
        <v>9.5829999999999995E-3</v>
      </c>
      <c r="U18" s="119">
        <v>5.8089999999999999E-3</v>
      </c>
      <c r="V18" s="119">
        <v>4.4770000000000001E-3</v>
      </c>
      <c r="W18" s="119">
        <v>6.4749999999999999E-3</v>
      </c>
      <c r="X18" s="119">
        <v>6.4749999999999999E-3</v>
      </c>
      <c r="Y18" s="119">
        <v>1.7900000000000001E-5</v>
      </c>
      <c r="Z18" s="119">
        <v>1.38E-5</v>
      </c>
      <c r="AA18" s="119">
        <v>8.6400000000000003E-6</v>
      </c>
      <c r="AB18" s="119">
        <v>5.9200000000000001E-6</v>
      </c>
      <c r="AC18" s="119">
        <v>5.13E-6</v>
      </c>
      <c r="AD18" s="119">
        <v>4.2699999999999998E-6</v>
      </c>
      <c r="AE18" s="119">
        <v>4.6800000000000001E-6</v>
      </c>
      <c r="AF18" s="119">
        <v>4.6800000000000001E-6</v>
      </c>
      <c r="AG18" s="119">
        <v>6.6229999999999997E-2</v>
      </c>
      <c r="AH18" s="119">
        <v>5.1060000000000001E-2</v>
      </c>
      <c r="AI18" s="119">
        <v>3.1968000000000003E-2</v>
      </c>
      <c r="AJ18" s="119">
        <v>2.1904E-2</v>
      </c>
      <c r="AK18" s="119">
        <v>1.8981000000000001E-2</v>
      </c>
      <c r="AL18" s="119">
        <v>1.5799000000000001E-2</v>
      </c>
      <c r="AM18" s="119">
        <v>1.7316000000000002E-2</v>
      </c>
      <c r="AN18" s="119">
        <v>1.7316000000000002E-2</v>
      </c>
      <c r="AO18" s="119">
        <v>3.0199999999999998E-22</v>
      </c>
      <c r="AP18" s="119">
        <v>4.4500000000000004E-19</v>
      </c>
      <c r="AQ18" s="119">
        <v>9.6499999999999995E-22</v>
      </c>
      <c r="AR18" s="119">
        <v>9.2199999999999997E-21</v>
      </c>
      <c r="AS18" s="119">
        <v>5.8599999999999994E-23</v>
      </c>
      <c r="AT18" s="119">
        <v>1.6800000000000001E-22</v>
      </c>
      <c r="AU18" s="119">
        <v>2.6400000000000002E-22</v>
      </c>
      <c r="AV18" s="119">
        <v>5.6413599999999998E-5</v>
      </c>
      <c r="AW18" s="119">
        <v>8.3126000000000005E-2</v>
      </c>
      <c r="AX18" s="119">
        <v>1.8026199999999999E-4</v>
      </c>
      <c r="AY18" s="119">
        <v>1.077818E-5</v>
      </c>
      <c r="AZ18" s="61">
        <v>1.094648E-5</v>
      </c>
      <c r="BA18" s="61">
        <v>3.13824E-5</v>
      </c>
      <c r="BB18" s="61">
        <v>4.9315199999999998E-5</v>
      </c>
      <c r="BC18" s="58">
        <v>210</v>
      </c>
      <c r="BD18" s="119">
        <v>0.37911232876712297</v>
      </c>
      <c r="BE18" s="119">
        <v>1.8279542695265101</v>
      </c>
      <c r="BF18" s="122">
        <f t="shared" si="2"/>
        <v>2.1780601609678234</v>
      </c>
      <c r="BG18" s="123">
        <v>138.376</v>
      </c>
    </row>
    <row r="19" spans="1:59">
      <c r="A19" s="60" t="s">
        <v>24</v>
      </c>
      <c r="B19" s="58" t="s">
        <v>6</v>
      </c>
      <c r="C19" s="58"/>
      <c r="D19" s="58" t="s">
        <v>378</v>
      </c>
      <c r="E19" s="58"/>
      <c r="F19" s="58"/>
      <c r="G19" s="119"/>
      <c r="H19" s="119">
        <v>0</v>
      </c>
      <c r="I19" s="119">
        <v>0</v>
      </c>
      <c r="J19" s="119">
        <v>0</v>
      </c>
      <c r="K19" s="119">
        <v>0</v>
      </c>
      <c r="L19" s="119">
        <v>0</v>
      </c>
      <c r="M19" s="119">
        <v>0</v>
      </c>
      <c r="N19" s="119">
        <v>0</v>
      </c>
      <c r="O19" s="119">
        <v>0</v>
      </c>
      <c r="P19" s="119">
        <v>0</v>
      </c>
      <c r="Q19" s="119">
        <v>0</v>
      </c>
      <c r="R19" s="119">
        <v>0</v>
      </c>
      <c r="S19" s="119">
        <v>0</v>
      </c>
      <c r="T19" s="119">
        <v>0</v>
      </c>
      <c r="U19" s="119">
        <v>0</v>
      </c>
      <c r="V19" s="119">
        <v>0</v>
      </c>
      <c r="W19" s="119">
        <v>0</v>
      </c>
      <c r="X19" s="119">
        <v>0</v>
      </c>
      <c r="Y19" s="119">
        <v>0</v>
      </c>
      <c r="Z19" s="119">
        <v>0</v>
      </c>
      <c r="AA19" s="119">
        <v>0</v>
      </c>
      <c r="AB19" s="119">
        <v>0</v>
      </c>
      <c r="AC19" s="119">
        <v>0</v>
      </c>
      <c r="AD19" s="119">
        <v>0</v>
      </c>
      <c r="AE19" s="119">
        <v>0</v>
      </c>
      <c r="AF19" s="119">
        <v>0</v>
      </c>
      <c r="AG19" s="119">
        <v>0</v>
      </c>
      <c r="AH19" s="119">
        <v>0</v>
      </c>
      <c r="AI19" s="119">
        <v>0</v>
      </c>
      <c r="AJ19" s="119">
        <v>0</v>
      </c>
      <c r="AK19" s="119">
        <v>0</v>
      </c>
      <c r="AL19" s="119">
        <v>0</v>
      </c>
      <c r="AM19" s="119">
        <v>0</v>
      </c>
      <c r="AN19" s="119">
        <v>0</v>
      </c>
      <c r="AO19" s="119">
        <v>1.1600000000000001E-21</v>
      </c>
      <c r="AP19" s="119">
        <v>1.71E-18</v>
      </c>
      <c r="AQ19" s="119">
        <v>3.7100000000000001E-21</v>
      </c>
      <c r="AR19" s="119">
        <v>3.57E-20</v>
      </c>
      <c r="AS19" s="119">
        <v>2.2600000000000001E-22</v>
      </c>
      <c r="AT19" s="119">
        <v>6.4700000000000004E-22</v>
      </c>
      <c r="AU19" s="119">
        <v>1.02E-21</v>
      </c>
      <c r="AV19" s="119">
        <v>2.1668800000000001E-4</v>
      </c>
      <c r="AW19" s="119">
        <v>0.31942799999999999</v>
      </c>
      <c r="AX19" s="119">
        <v>6.9302800000000005E-4</v>
      </c>
      <c r="AY19" s="119">
        <v>4.1733300000000002E-5</v>
      </c>
      <c r="AZ19" s="61">
        <v>4.2216799999999999E-5</v>
      </c>
      <c r="BA19" s="61">
        <v>1.208596E-4</v>
      </c>
      <c r="BB19" s="61">
        <v>1.9053599999999999E-4</v>
      </c>
      <c r="BC19" s="58">
        <v>213</v>
      </c>
      <c r="BD19" s="119">
        <v>1.3318112633181101E-13</v>
      </c>
      <c r="BE19" s="119">
        <v>5203440000000</v>
      </c>
      <c r="BF19" s="122">
        <f t="shared" si="2"/>
        <v>5203440000000</v>
      </c>
      <c r="BG19" s="123">
        <v>4.8611111111111103E-11</v>
      </c>
    </row>
    <row r="20" spans="1:59">
      <c r="A20" s="60" t="s">
        <v>25</v>
      </c>
      <c r="B20" s="120" t="s">
        <v>6</v>
      </c>
      <c r="C20" s="58"/>
      <c r="D20" s="58" t="s">
        <v>378</v>
      </c>
      <c r="E20" s="58"/>
      <c r="F20" s="58"/>
      <c r="G20" s="119"/>
      <c r="H20" s="119">
        <v>0</v>
      </c>
      <c r="I20" s="119">
        <v>0</v>
      </c>
      <c r="J20" s="119">
        <v>0</v>
      </c>
      <c r="K20" s="119">
        <v>0</v>
      </c>
      <c r="L20" s="119">
        <v>0</v>
      </c>
      <c r="M20" s="119">
        <v>0</v>
      </c>
      <c r="N20" s="119">
        <v>0</v>
      </c>
      <c r="O20" s="119">
        <v>0</v>
      </c>
      <c r="P20" s="119">
        <v>0</v>
      </c>
      <c r="Q20" s="119">
        <v>0</v>
      </c>
      <c r="R20" s="119">
        <v>0</v>
      </c>
      <c r="S20" s="119">
        <v>0</v>
      </c>
      <c r="T20" s="119">
        <v>0</v>
      </c>
      <c r="U20" s="119">
        <v>0</v>
      </c>
      <c r="V20" s="119">
        <v>0</v>
      </c>
      <c r="W20" s="119">
        <v>0</v>
      </c>
      <c r="X20" s="119">
        <v>0</v>
      </c>
      <c r="Y20" s="119">
        <v>0</v>
      </c>
      <c r="Z20" s="119">
        <v>0</v>
      </c>
      <c r="AA20" s="119">
        <v>0</v>
      </c>
      <c r="AB20" s="119">
        <v>0</v>
      </c>
      <c r="AC20" s="119">
        <v>0</v>
      </c>
      <c r="AD20" s="119">
        <v>0</v>
      </c>
      <c r="AE20" s="119">
        <v>0</v>
      </c>
      <c r="AF20" s="119">
        <v>0</v>
      </c>
      <c r="AG20" s="119">
        <v>0</v>
      </c>
      <c r="AH20" s="119">
        <v>0</v>
      </c>
      <c r="AI20" s="119">
        <v>0</v>
      </c>
      <c r="AJ20" s="119">
        <v>0</v>
      </c>
      <c r="AK20" s="119">
        <v>0</v>
      </c>
      <c r="AL20" s="119">
        <v>0</v>
      </c>
      <c r="AM20" s="119">
        <v>0</v>
      </c>
      <c r="AN20" s="119">
        <v>0</v>
      </c>
      <c r="AO20" s="119">
        <v>2.5700000000000002E-21</v>
      </c>
      <c r="AP20" s="119">
        <v>3.7999999999999998E-18</v>
      </c>
      <c r="AQ20" s="119">
        <v>8.2300000000000003E-21</v>
      </c>
      <c r="AR20" s="119">
        <v>7.8700000000000001E-20</v>
      </c>
      <c r="AS20" s="119">
        <v>4.9999999999999995E-22</v>
      </c>
      <c r="AT20" s="119">
        <v>1.43E-21</v>
      </c>
      <c r="AU20" s="119">
        <v>2.2600000000000001E-21</v>
      </c>
      <c r="AV20" s="119">
        <v>4.8007600000000002E-4</v>
      </c>
      <c r="AW20" s="119">
        <v>0.70984000000000003</v>
      </c>
      <c r="AX20" s="119">
        <v>1.537364E-3</v>
      </c>
      <c r="AY20" s="119">
        <v>9.2000299999999994E-5</v>
      </c>
      <c r="AZ20" s="61">
        <v>9.3399999999999993E-5</v>
      </c>
      <c r="BA20" s="61">
        <v>2.6712399999999999E-4</v>
      </c>
      <c r="BB20" s="61">
        <v>4.22168E-4</v>
      </c>
      <c r="BC20" s="58">
        <v>214</v>
      </c>
      <c r="BD20" s="119">
        <v>5.20991882293252E-12</v>
      </c>
      <c r="BE20" s="119">
        <v>133015508216.677</v>
      </c>
      <c r="BF20" s="122">
        <f t="shared" si="2"/>
        <v>133015508216.677</v>
      </c>
      <c r="BG20" s="123">
        <v>1.9016203703703698E-9</v>
      </c>
    </row>
    <row r="21" spans="1:59">
      <c r="A21" s="60" t="s">
        <v>26</v>
      </c>
      <c r="B21" s="120" t="s">
        <v>6</v>
      </c>
      <c r="C21" s="58"/>
      <c r="D21" s="58" t="s">
        <v>378</v>
      </c>
      <c r="E21" s="58"/>
      <c r="F21" s="58"/>
      <c r="G21" s="119"/>
      <c r="H21" s="119">
        <v>0</v>
      </c>
      <c r="I21" s="119">
        <v>0</v>
      </c>
      <c r="J21" s="119">
        <v>0</v>
      </c>
      <c r="K21" s="119">
        <v>0</v>
      </c>
      <c r="L21" s="119">
        <v>0</v>
      </c>
      <c r="M21" s="119">
        <v>0</v>
      </c>
      <c r="N21" s="119">
        <v>0</v>
      </c>
      <c r="O21" s="119">
        <v>0</v>
      </c>
      <c r="P21" s="119">
        <v>0</v>
      </c>
      <c r="Q21" s="119">
        <v>0</v>
      </c>
      <c r="R21" s="119">
        <v>0</v>
      </c>
      <c r="S21" s="119">
        <v>0</v>
      </c>
      <c r="T21" s="119">
        <v>0</v>
      </c>
      <c r="U21" s="119">
        <v>0</v>
      </c>
      <c r="V21" s="119">
        <v>0</v>
      </c>
      <c r="W21" s="119">
        <v>0</v>
      </c>
      <c r="X21" s="119">
        <v>0</v>
      </c>
      <c r="Y21" s="119">
        <v>0</v>
      </c>
      <c r="Z21" s="119">
        <v>0</v>
      </c>
      <c r="AA21" s="119">
        <v>0</v>
      </c>
      <c r="AB21" s="119">
        <v>0</v>
      </c>
      <c r="AC21" s="119">
        <v>0</v>
      </c>
      <c r="AD21" s="119">
        <v>0</v>
      </c>
      <c r="AE21" s="119">
        <v>0</v>
      </c>
      <c r="AF21" s="119">
        <v>0</v>
      </c>
      <c r="AG21" s="119">
        <v>0</v>
      </c>
      <c r="AH21" s="119">
        <v>0</v>
      </c>
      <c r="AI21" s="119">
        <v>0</v>
      </c>
      <c r="AJ21" s="119">
        <v>0</v>
      </c>
      <c r="AK21" s="119">
        <v>0</v>
      </c>
      <c r="AL21" s="119">
        <v>0</v>
      </c>
      <c r="AM21" s="119">
        <v>0</v>
      </c>
      <c r="AN21" s="119">
        <v>7.6199999999999999E-6</v>
      </c>
      <c r="AO21" s="119">
        <v>4.9399999999999998E-26</v>
      </c>
      <c r="AP21" s="119">
        <v>2.6199999999999999E-21</v>
      </c>
      <c r="AQ21" s="119">
        <v>2.86E-24</v>
      </c>
      <c r="AR21" s="119">
        <v>6.6500000000000006E-24</v>
      </c>
      <c r="AS21" s="119">
        <v>2.32E-26</v>
      </c>
      <c r="AT21" s="119">
        <v>4.3399999999999998E-26</v>
      </c>
      <c r="AU21" s="119">
        <v>4.9399999999999998E-26</v>
      </c>
      <c r="AV21" s="119">
        <v>9.2279199999999993E-9</v>
      </c>
      <c r="AW21" s="119">
        <v>4.89416E-4</v>
      </c>
      <c r="AX21" s="119">
        <v>5.3424799999999995E-7</v>
      </c>
      <c r="AY21" s="119">
        <v>7.7738500000000008E-9</v>
      </c>
      <c r="AZ21" s="61">
        <v>4.3337599999999997E-9</v>
      </c>
      <c r="BA21" s="61">
        <v>8.1071199999999996E-9</v>
      </c>
      <c r="BB21" s="61">
        <v>9.2279199999999993E-9</v>
      </c>
      <c r="BC21" s="58">
        <v>218</v>
      </c>
      <c r="BD21" s="119">
        <v>5.8980213089802101E-6</v>
      </c>
      <c r="BE21" s="119">
        <v>117497.032258065</v>
      </c>
      <c r="BF21" s="122">
        <f t="shared" si="2"/>
        <v>117497.032258065</v>
      </c>
      <c r="BG21" s="123">
        <v>2.1527777777777799E-3</v>
      </c>
    </row>
    <row r="22" spans="1:59">
      <c r="A22" s="60" t="s">
        <v>27</v>
      </c>
      <c r="B22" s="58" t="s">
        <v>6</v>
      </c>
      <c r="C22" s="58"/>
      <c r="D22" s="58" t="s">
        <v>377</v>
      </c>
      <c r="E22" s="58"/>
      <c r="F22" s="58"/>
      <c r="G22" s="119">
        <v>0.6</v>
      </c>
      <c r="H22" s="119">
        <v>0.02</v>
      </c>
      <c r="I22" s="119">
        <v>7.0099999999999998E-6</v>
      </c>
      <c r="J22" s="119">
        <v>1.1999999999999999E-6</v>
      </c>
      <c r="K22" s="119">
        <v>6.1699999999999998E-7</v>
      </c>
      <c r="L22" s="119">
        <v>5.0299999999999999E-7</v>
      </c>
      <c r="M22" s="119">
        <v>4.3700000000000001E-7</v>
      </c>
      <c r="N22" s="119">
        <v>9.9600000000000005E-8</v>
      </c>
      <c r="O22" s="119">
        <v>2.3799999999999999E-7</v>
      </c>
      <c r="P22" s="119">
        <v>2.3799999999999999E-7</v>
      </c>
      <c r="Q22" s="119">
        <v>2.5937000000000002E-2</v>
      </c>
      <c r="R22" s="119">
        <v>4.4400000000000004E-3</v>
      </c>
      <c r="S22" s="119">
        <v>2.2829E-3</v>
      </c>
      <c r="T22" s="119">
        <v>1.8611000000000001E-3</v>
      </c>
      <c r="U22" s="119">
        <v>1.6169000000000001E-3</v>
      </c>
      <c r="V22" s="119">
        <v>3.6852E-4</v>
      </c>
      <c r="W22" s="119">
        <v>8.8060000000000005E-4</v>
      </c>
      <c r="X22" s="119">
        <v>8.8060000000000005E-4</v>
      </c>
      <c r="Y22" s="119">
        <v>2.8200000000000001E-5</v>
      </c>
      <c r="Z22" s="119">
        <v>2.1800000000000001E-5</v>
      </c>
      <c r="AA22" s="119">
        <v>1.3900000000000001E-5</v>
      </c>
      <c r="AB22" s="119">
        <v>1.03E-5</v>
      </c>
      <c r="AC22" s="119">
        <v>9.7599999999999997E-6</v>
      </c>
      <c r="AD22" s="119">
        <v>7.7600000000000002E-6</v>
      </c>
      <c r="AE22" s="119">
        <v>8.4100000000000008E-6</v>
      </c>
      <c r="AF22" s="119">
        <v>8.4100000000000008E-6</v>
      </c>
      <c r="AG22" s="119">
        <v>0.10434</v>
      </c>
      <c r="AH22" s="119">
        <v>8.0659999999999996E-2</v>
      </c>
      <c r="AI22" s="119">
        <v>5.1429999999999997E-2</v>
      </c>
      <c r="AJ22" s="119">
        <v>3.8109999999999998E-2</v>
      </c>
      <c r="AK22" s="119">
        <v>3.6111999999999998E-2</v>
      </c>
      <c r="AL22" s="119">
        <v>2.8712000000000001E-2</v>
      </c>
      <c r="AM22" s="119">
        <v>3.1116999999999999E-2</v>
      </c>
      <c r="AN22" s="119">
        <v>3.1116999999999999E-2</v>
      </c>
      <c r="AO22" s="119">
        <v>4.7700000000000001E-20</v>
      </c>
      <c r="AP22" s="119">
        <v>2.4700000000000002E-16</v>
      </c>
      <c r="AQ22" s="119">
        <v>5.4300000000000002E-19</v>
      </c>
      <c r="AR22" s="119">
        <v>1.1E-17</v>
      </c>
      <c r="AS22" s="119">
        <v>3.4599999999999999E-20</v>
      </c>
      <c r="AT22" s="119">
        <v>4.75E-20</v>
      </c>
      <c r="AU22" s="119">
        <v>4.7700000000000001E-20</v>
      </c>
      <c r="AV22" s="119">
        <v>8.9103600000000008E-3</v>
      </c>
      <c r="AW22" s="119">
        <v>46.139600000000002</v>
      </c>
      <c r="AX22" s="119">
        <v>0.10143240000000001</v>
      </c>
      <c r="AY22" s="119">
        <v>1.2859000000000001E-2</v>
      </c>
      <c r="AZ22" s="61">
        <v>6.4632800000000001E-3</v>
      </c>
      <c r="BA22" s="61">
        <v>8.8730000000000007E-3</v>
      </c>
      <c r="BB22" s="61">
        <v>8.9103600000000008E-3</v>
      </c>
      <c r="BC22" s="58">
        <v>225</v>
      </c>
      <c r="BD22" s="119">
        <v>4.0821917808219199E-2</v>
      </c>
      <c r="BE22" s="119">
        <v>16.976174496644301</v>
      </c>
      <c r="BF22" s="122">
        <f t="shared" si="2"/>
        <v>16.976175216393088</v>
      </c>
      <c r="BG22" s="123">
        <v>14.9</v>
      </c>
    </row>
    <row r="23" spans="1:59">
      <c r="A23" s="62" t="s">
        <v>28</v>
      </c>
      <c r="B23" s="120" t="s">
        <v>8</v>
      </c>
      <c r="C23" s="58">
        <v>1</v>
      </c>
      <c r="D23" s="58" t="s">
        <v>377</v>
      </c>
      <c r="E23" s="58"/>
      <c r="F23" s="58"/>
      <c r="G23" s="119">
        <v>0.6</v>
      </c>
      <c r="H23" s="119">
        <v>0.02</v>
      </c>
      <c r="I23" s="119">
        <v>4.6500000000000004E-6</v>
      </c>
      <c r="J23" s="119">
        <v>9.540000000000001E-7</v>
      </c>
      <c r="K23" s="119">
        <v>6.1600000000000001E-7</v>
      </c>
      <c r="L23" s="119">
        <v>8.0200000000000001E-7</v>
      </c>
      <c r="M23" s="119">
        <v>1.5200000000000001E-6</v>
      </c>
      <c r="N23" s="119">
        <v>2.8000000000000002E-7</v>
      </c>
      <c r="O23" s="119">
        <v>4.5299999999999999E-7</v>
      </c>
      <c r="P23" s="119">
        <v>4.5299999999999999E-7</v>
      </c>
      <c r="Q23" s="119">
        <v>1.7205000000000002E-2</v>
      </c>
      <c r="R23" s="119">
        <v>3.5298E-3</v>
      </c>
      <c r="S23" s="119">
        <v>2.2791999999999999E-3</v>
      </c>
      <c r="T23" s="119">
        <v>2.9673999999999998E-3</v>
      </c>
      <c r="U23" s="119">
        <v>5.6239999999999997E-3</v>
      </c>
      <c r="V23" s="119">
        <v>1.036E-3</v>
      </c>
      <c r="W23" s="119">
        <v>1.6761E-3</v>
      </c>
      <c r="X23" s="119">
        <v>1.6761E-3</v>
      </c>
      <c r="Y23" s="119">
        <v>3.3500000000000001E-5</v>
      </c>
      <c r="Z23" s="119">
        <v>2.9200000000000002E-5</v>
      </c>
      <c r="AA23" s="119">
        <v>1.8899999999999999E-5</v>
      </c>
      <c r="AB23" s="119">
        <v>1.2300000000000001E-5</v>
      </c>
      <c r="AC23" s="119">
        <v>1.04E-5</v>
      </c>
      <c r="AD23" s="119">
        <v>9.5100000000000004E-6</v>
      </c>
      <c r="AE23" s="119">
        <v>1.03E-5</v>
      </c>
      <c r="AF23" s="119">
        <v>1.03E-5</v>
      </c>
      <c r="AG23" s="119">
        <v>0.12395</v>
      </c>
      <c r="AH23" s="119">
        <v>0.10804</v>
      </c>
      <c r="AI23" s="119">
        <v>6.9930000000000006E-2</v>
      </c>
      <c r="AJ23" s="119">
        <v>4.5510000000000002E-2</v>
      </c>
      <c r="AK23" s="119">
        <v>3.848E-2</v>
      </c>
      <c r="AL23" s="119">
        <v>3.5187000000000003E-2</v>
      </c>
      <c r="AM23" s="119">
        <v>3.8109999999999998E-2</v>
      </c>
      <c r="AN23" s="119">
        <v>3.8109999999999998E-2</v>
      </c>
      <c r="AO23" s="119">
        <v>1.7000000000000001E-19</v>
      </c>
      <c r="AP23" s="119">
        <v>3.1100000000000002E-16</v>
      </c>
      <c r="AQ23" s="119">
        <v>6.8399999999999998E-19</v>
      </c>
      <c r="AR23" s="119">
        <v>6.6799999999999999E-18</v>
      </c>
      <c r="AS23" s="119">
        <v>4.2399999999999999E-20</v>
      </c>
      <c r="AT23" s="119">
        <v>1.1700000000000001E-19</v>
      </c>
      <c r="AU23" s="119">
        <v>1.66E-19</v>
      </c>
      <c r="AV23" s="119">
        <v>3.1756E-2</v>
      </c>
      <c r="AW23" s="119">
        <v>58.094799999999999</v>
      </c>
      <c r="AX23" s="119">
        <v>0.1277712</v>
      </c>
      <c r="AY23" s="119">
        <v>7.8089199999999996E-3</v>
      </c>
      <c r="AZ23" s="61">
        <v>7.9203199999999998E-3</v>
      </c>
      <c r="BA23" s="61">
        <v>2.1855599999999999E-2</v>
      </c>
      <c r="BB23" s="61">
        <v>3.10088E-2</v>
      </c>
      <c r="BC23" s="58">
        <v>226</v>
      </c>
      <c r="BD23" s="119">
        <v>1600</v>
      </c>
      <c r="BE23" s="119">
        <v>4.3312500000000002E-4</v>
      </c>
      <c r="BF23" s="122">
        <f t="shared" si="2"/>
        <v>1.0002165781331089</v>
      </c>
      <c r="BG23" s="123">
        <v>584000</v>
      </c>
    </row>
    <row r="24" spans="1:59">
      <c r="A24" s="60" t="s">
        <v>29</v>
      </c>
      <c r="B24" s="120" t="s">
        <v>6</v>
      </c>
      <c r="C24" s="58"/>
      <c r="D24" s="58" t="s">
        <v>378</v>
      </c>
      <c r="E24" s="58"/>
      <c r="F24" s="58"/>
      <c r="G24" s="119"/>
      <c r="H24" s="119">
        <v>0</v>
      </c>
      <c r="I24" s="119">
        <v>0</v>
      </c>
      <c r="J24" s="119">
        <v>0</v>
      </c>
      <c r="K24" s="119">
        <v>0</v>
      </c>
      <c r="L24" s="119">
        <v>0</v>
      </c>
      <c r="M24" s="119">
        <v>0</v>
      </c>
      <c r="N24" s="119">
        <v>0</v>
      </c>
      <c r="O24" s="119">
        <v>0</v>
      </c>
      <c r="P24" s="119">
        <v>0</v>
      </c>
      <c r="Q24" s="119">
        <v>0</v>
      </c>
      <c r="R24" s="119">
        <v>0</v>
      </c>
      <c r="S24" s="119">
        <v>0</v>
      </c>
      <c r="T24" s="119">
        <v>0</v>
      </c>
      <c r="U24" s="119">
        <v>0</v>
      </c>
      <c r="V24" s="119">
        <v>0</v>
      </c>
      <c r="W24" s="119">
        <v>0</v>
      </c>
      <c r="X24" s="119">
        <v>0</v>
      </c>
      <c r="Y24" s="119">
        <v>0</v>
      </c>
      <c r="Z24" s="119">
        <v>0</v>
      </c>
      <c r="AA24" s="119">
        <v>0</v>
      </c>
      <c r="AB24" s="119">
        <v>0</v>
      </c>
      <c r="AC24" s="119">
        <v>0</v>
      </c>
      <c r="AD24" s="119">
        <v>0</v>
      </c>
      <c r="AE24" s="119">
        <v>0</v>
      </c>
      <c r="AF24" s="119">
        <v>0</v>
      </c>
      <c r="AG24" s="119">
        <v>0</v>
      </c>
      <c r="AH24" s="119">
        <v>0</v>
      </c>
      <c r="AI24" s="119">
        <v>0</v>
      </c>
      <c r="AJ24" s="119">
        <v>0</v>
      </c>
      <c r="AK24" s="119">
        <v>0</v>
      </c>
      <c r="AL24" s="119">
        <v>0</v>
      </c>
      <c r="AM24" s="119">
        <v>0</v>
      </c>
      <c r="AN24" s="119">
        <v>0</v>
      </c>
      <c r="AO24" s="119">
        <v>2.2799999999999999E-20</v>
      </c>
      <c r="AP24" s="119">
        <v>3.3999999999999998E-17</v>
      </c>
      <c r="AQ24" s="119">
        <v>7.3899999999999998E-20</v>
      </c>
      <c r="AR24" s="119">
        <v>7.2399999999999996E-19</v>
      </c>
      <c r="AS24" s="119">
        <v>4.5900000000000001E-21</v>
      </c>
      <c r="AT24" s="119">
        <v>1.31E-20</v>
      </c>
      <c r="AU24" s="119">
        <v>2.04E-20</v>
      </c>
      <c r="AV24" s="119">
        <v>4.2590400000000004E-3</v>
      </c>
      <c r="AW24" s="119">
        <v>6.3512000000000004</v>
      </c>
      <c r="AX24" s="119">
        <v>1.3804520000000001E-2</v>
      </c>
      <c r="AY24" s="119">
        <v>8.4635600000000004E-4</v>
      </c>
      <c r="AZ24" s="61">
        <v>8.57412E-4</v>
      </c>
      <c r="BA24" s="61">
        <v>2.4470799999999999E-3</v>
      </c>
      <c r="BB24" s="61">
        <v>3.8107200000000001E-3</v>
      </c>
      <c r="BC24" s="58">
        <v>218</v>
      </c>
      <c r="BD24" s="119">
        <v>1.1098427194317601E-9</v>
      </c>
      <c r="BE24" s="119">
        <v>624412800</v>
      </c>
      <c r="BF24" s="122">
        <f t="shared" si="2"/>
        <v>624412800</v>
      </c>
      <c r="BG24" s="123">
        <v>4.05092592592593E-7</v>
      </c>
    </row>
    <row r="25" spans="1:59">
      <c r="A25" s="62" t="s">
        <v>30</v>
      </c>
      <c r="B25" s="120" t="s">
        <v>8</v>
      </c>
      <c r="C25" s="58">
        <v>1</v>
      </c>
      <c r="D25" s="58" t="s">
        <v>378</v>
      </c>
      <c r="E25" s="58"/>
      <c r="F25" s="58"/>
      <c r="G25" s="119"/>
      <c r="H25" s="119">
        <v>0</v>
      </c>
      <c r="I25" s="119">
        <v>0</v>
      </c>
      <c r="J25" s="119">
        <v>0</v>
      </c>
      <c r="K25" s="119">
        <v>0</v>
      </c>
      <c r="L25" s="119">
        <v>0</v>
      </c>
      <c r="M25" s="119">
        <v>0</v>
      </c>
      <c r="N25" s="119">
        <v>0</v>
      </c>
      <c r="O25" s="119">
        <v>0</v>
      </c>
      <c r="P25" s="119">
        <v>0</v>
      </c>
      <c r="Q25" s="119">
        <v>0</v>
      </c>
      <c r="R25" s="119">
        <v>0</v>
      </c>
      <c r="S25" s="119">
        <v>0</v>
      </c>
      <c r="T25" s="119">
        <v>0</v>
      </c>
      <c r="U25" s="119">
        <v>0</v>
      </c>
      <c r="V25" s="119">
        <v>0</v>
      </c>
      <c r="W25" s="119">
        <v>0</v>
      </c>
      <c r="X25" s="119">
        <v>0</v>
      </c>
      <c r="Y25" s="119">
        <v>0</v>
      </c>
      <c r="Z25" s="119">
        <v>0</v>
      </c>
      <c r="AA25" s="119">
        <v>0</v>
      </c>
      <c r="AB25" s="119">
        <v>0</v>
      </c>
      <c r="AC25" s="119">
        <v>0</v>
      </c>
      <c r="AD25" s="119">
        <v>0</v>
      </c>
      <c r="AE25" s="119">
        <v>3.3799999999999998E-8</v>
      </c>
      <c r="AF25" s="119">
        <v>3.3799999999999998E-8</v>
      </c>
      <c r="AG25" s="119">
        <v>0</v>
      </c>
      <c r="AH25" s="119">
        <v>0</v>
      </c>
      <c r="AI25" s="119">
        <v>0</v>
      </c>
      <c r="AJ25" s="119">
        <v>0</v>
      </c>
      <c r="AK25" s="119">
        <v>0</v>
      </c>
      <c r="AL25" s="119">
        <v>0</v>
      </c>
      <c r="AM25" s="119">
        <v>1.25E-4</v>
      </c>
      <c r="AN25" s="119">
        <v>6.55E-6</v>
      </c>
      <c r="AO25" s="119">
        <v>1.1399999999999999E-20</v>
      </c>
      <c r="AP25" s="119">
        <v>1.7299999999999999E-17</v>
      </c>
      <c r="AQ25" s="119">
        <v>3.7600000000000002E-20</v>
      </c>
      <c r="AR25" s="119">
        <v>3.7200000000000002E-19</v>
      </c>
      <c r="AS25" s="119">
        <v>2.36E-21</v>
      </c>
      <c r="AT25" s="119">
        <v>6.7300000000000001E-21</v>
      </c>
      <c r="AU25" s="119">
        <v>1.0400000000000001E-20</v>
      </c>
      <c r="AV25" s="119">
        <v>2.1295200000000002E-3</v>
      </c>
      <c r="AW25" s="119">
        <v>3.2316400000000001</v>
      </c>
      <c r="AX25" s="119">
        <v>7.02368E-3</v>
      </c>
      <c r="AY25" s="119">
        <v>4.3486799999999998E-4</v>
      </c>
      <c r="AZ25" s="61">
        <v>4.4084799999999998E-4</v>
      </c>
      <c r="BA25" s="61">
        <v>1.2571640000000001E-3</v>
      </c>
      <c r="BB25" s="61">
        <v>1.94272E-3</v>
      </c>
      <c r="BC25" s="58">
        <v>222</v>
      </c>
      <c r="BD25" s="119">
        <v>1.04753424657534E-2</v>
      </c>
      <c r="BE25" s="119">
        <v>66.155355041192607</v>
      </c>
      <c r="BF25" s="122">
        <f t="shared" ref="BF25:BF30" si="3">IFERROR((t_com*BE25)/(1-EXP(-BE25*t_com)),".")</f>
        <v>66.155355041192607</v>
      </c>
      <c r="BG25" s="123">
        <v>3.8235000000000001</v>
      </c>
    </row>
    <row r="26" spans="1:59">
      <c r="A26" s="60" t="s">
        <v>31</v>
      </c>
      <c r="B26" s="58" t="s">
        <v>6</v>
      </c>
      <c r="C26" s="58"/>
      <c r="D26" s="58" t="s">
        <v>377</v>
      </c>
      <c r="E26" s="58"/>
      <c r="F26" s="58"/>
      <c r="G26" s="119">
        <v>5.0000000000000001E-3</v>
      </c>
      <c r="H26" s="119">
        <v>5.0000000000000001E-3</v>
      </c>
      <c r="I26" s="119">
        <v>1.0900000000000001E-5</v>
      </c>
      <c r="J26" s="119">
        <v>1.04E-6</v>
      </c>
      <c r="K26" s="119">
        <v>7.8899999999999998E-7</v>
      </c>
      <c r="L26" s="119">
        <v>6.2500000000000005E-7</v>
      </c>
      <c r="M26" s="119">
        <v>5.4000000000000002E-7</v>
      </c>
      <c r="N26" s="119">
        <v>4.9900000000000001E-7</v>
      </c>
      <c r="O26" s="119">
        <v>6.0900000000000001E-7</v>
      </c>
      <c r="P26" s="119">
        <v>6.0900000000000001E-7</v>
      </c>
      <c r="Q26" s="119">
        <v>4.0329999999999998E-2</v>
      </c>
      <c r="R26" s="119">
        <v>3.8479999999999999E-3</v>
      </c>
      <c r="S26" s="119">
        <v>2.9193000000000001E-3</v>
      </c>
      <c r="T26" s="119">
        <v>2.3124999999999999E-3</v>
      </c>
      <c r="U26" s="119">
        <v>1.9980000000000002E-3</v>
      </c>
      <c r="V26" s="119">
        <v>1.8462999999999999E-3</v>
      </c>
      <c r="W26" s="119">
        <v>2.2533000000000002E-3</v>
      </c>
      <c r="X26" s="119">
        <v>2.2533000000000002E-3</v>
      </c>
      <c r="Y26" s="119">
        <v>2.1100000000000001E-4</v>
      </c>
      <c r="Z26" s="119">
        <v>1.92E-4</v>
      </c>
      <c r="AA26" s="119">
        <v>1.2899999999999999E-4</v>
      </c>
      <c r="AB26" s="119">
        <v>8.6899999999999998E-5</v>
      </c>
      <c r="AC26" s="119">
        <v>7.5900000000000002E-5</v>
      </c>
      <c r="AD26" s="119">
        <v>7.1099999999999994E-5</v>
      </c>
      <c r="AE26" s="119">
        <v>7.5500000000000006E-5</v>
      </c>
      <c r="AF26" s="119">
        <v>7.5500000000000006E-5</v>
      </c>
      <c r="AG26" s="119">
        <v>0.78069999999999995</v>
      </c>
      <c r="AH26" s="119">
        <v>0.71040000000000003</v>
      </c>
      <c r="AI26" s="119">
        <v>0.4773</v>
      </c>
      <c r="AJ26" s="119">
        <v>0.32152999999999998</v>
      </c>
      <c r="AK26" s="119">
        <v>0.28083000000000002</v>
      </c>
      <c r="AL26" s="119">
        <v>0.26307000000000003</v>
      </c>
      <c r="AM26" s="119">
        <v>0.27934999999999999</v>
      </c>
      <c r="AN26" s="119">
        <v>0.27934999999999999</v>
      </c>
      <c r="AO26" s="119">
        <v>1.5400000000000001E-18</v>
      </c>
      <c r="AP26" s="119">
        <v>3.3199999999999999E-15</v>
      </c>
      <c r="AQ26" s="119">
        <v>7.4000000000000007E-18</v>
      </c>
      <c r="AR26" s="119">
        <v>7.7500000000000002E-17</v>
      </c>
      <c r="AS26" s="119">
        <v>4.5900000000000002E-19</v>
      </c>
      <c r="AT26" s="119">
        <v>1.1699999999999999E-18</v>
      </c>
      <c r="AU26" s="119">
        <v>1.52E-18</v>
      </c>
      <c r="AV26" s="119">
        <v>0.28767199999999998</v>
      </c>
      <c r="AW26" s="119">
        <v>620.17600000000004</v>
      </c>
      <c r="AX26" s="119">
        <v>1.38232</v>
      </c>
      <c r="AY26" s="119">
        <v>9.0597499999999997E-2</v>
      </c>
      <c r="AZ26" s="61">
        <v>8.5741200000000004E-2</v>
      </c>
      <c r="BA26" s="61">
        <v>0.218556</v>
      </c>
      <c r="BB26" s="61">
        <v>0.28393600000000002</v>
      </c>
      <c r="BC26" s="58">
        <v>229</v>
      </c>
      <c r="BD26" s="119">
        <v>7340</v>
      </c>
      <c r="BE26" s="119">
        <v>9.4414168937329696E-5</v>
      </c>
      <c r="BF26" s="122">
        <f t="shared" si="3"/>
        <v>1.0000472078269109</v>
      </c>
      <c r="BG26" s="123">
        <v>2679100</v>
      </c>
    </row>
    <row r="27" spans="1:59">
      <c r="A27" s="60" t="s">
        <v>32</v>
      </c>
      <c r="B27" s="120" t="s">
        <v>6</v>
      </c>
      <c r="C27" s="58"/>
      <c r="D27" s="58" t="s">
        <v>378</v>
      </c>
      <c r="E27" s="58"/>
      <c r="F27" s="58"/>
      <c r="G27" s="119"/>
      <c r="H27" s="119">
        <v>0</v>
      </c>
      <c r="I27" s="119">
        <v>0</v>
      </c>
      <c r="J27" s="119">
        <v>0</v>
      </c>
      <c r="K27" s="119">
        <v>0</v>
      </c>
      <c r="L27" s="119">
        <v>0</v>
      </c>
      <c r="M27" s="119">
        <v>0</v>
      </c>
      <c r="N27" s="119">
        <v>0</v>
      </c>
      <c r="O27" s="119">
        <v>0</v>
      </c>
      <c r="P27" s="119">
        <v>0</v>
      </c>
      <c r="Q27" s="119">
        <v>0</v>
      </c>
      <c r="R27" s="119">
        <v>0</v>
      </c>
      <c r="S27" s="119">
        <v>0</v>
      </c>
      <c r="T27" s="119">
        <v>0</v>
      </c>
      <c r="U27" s="119">
        <v>0</v>
      </c>
      <c r="V27" s="119">
        <v>0</v>
      </c>
      <c r="W27" s="119">
        <v>0</v>
      </c>
      <c r="X27" s="119">
        <v>0</v>
      </c>
      <c r="Y27" s="119">
        <v>0</v>
      </c>
      <c r="Z27" s="119">
        <v>0</v>
      </c>
      <c r="AA27" s="119">
        <v>0</v>
      </c>
      <c r="AB27" s="119">
        <v>0</v>
      </c>
      <c r="AC27" s="119">
        <v>0</v>
      </c>
      <c r="AD27" s="119">
        <v>0</v>
      </c>
      <c r="AE27" s="119">
        <v>0</v>
      </c>
      <c r="AF27" s="119">
        <v>0</v>
      </c>
      <c r="AG27" s="119">
        <v>0</v>
      </c>
      <c r="AH27" s="119">
        <v>0</v>
      </c>
      <c r="AI27" s="119">
        <v>0</v>
      </c>
      <c r="AJ27" s="119">
        <v>0</v>
      </c>
      <c r="AK27" s="119">
        <v>0</v>
      </c>
      <c r="AL27" s="119">
        <v>0</v>
      </c>
      <c r="AM27" s="119">
        <v>0</v>
      </c>
      <c r="AN27" s="119">
        <v>0</v>
      </c>
      <c r="AO27" s="119">
        <v>6.8399999999999996E-20</v>
      </c>
      <c r="AP27" s="119">
        <v>3.9699999999999999E-16</v>
      </c>
      <c r="AQ27" s="119">
        <v>4.7499999999999998E-19</v>
      </c>
      <c r="AR27" s="119">
        <v>6.1200000000000001E-17</v>
      </c>
      <c r="AS27" s="119">
        <v>4.06E-20</v>
      </c>
      <c r="AT27" s="119">
        <v>5.6600000000000001E-20</v>
      </c>
      <c r="AU27" s="119">
        <v>6.6699999999999999E-20</v>
      </c>
      <c r="AV27" s="119">
        <v>1.2777119999999999E-2</v>
      </c>
      <c r="AW27" s="119">
        <v>74.159599999999998</v>
      </c>
      <c r="AX27" s="119">
        <v>8.8730000000000003E-2</v>
      </c>
      <c r="AY27" s="119">
        <v>7.1542800000000004E-2</v>
      </c>
      <c r="AZ27" s="61">
        <v>7.58408E-3</v>
      </c>
      <c r="BA27" s="61">
        <v>1.057288E-2</v>
      </c>
      <c r="BB27" s="61">
        <v>1.245956E-2</v>
      </c>
      <c r="BC27" s="58">
        <v>206</v>
      </c>
      <c r="BD27" s="119">
        <v>7.9908675799086794E-6</v>
      </c>
      <c r="BE27" s="119">
        <v>86724</v>
      </c>
      <c r="BF27" s="122">
        <f t="shared" si="3"/>
        <v>86724</v>
      </c>
      <c r="BG27" s="123">
        <v>2.9166666666666698E-3</v>
      </c>
    </row>
    <row r="28" spans="1:59">
      <c r="A28" s="60" t="s">
        <v>33</v>
      </c>
      <c r="B28" s="58" t="s">
        <v>6</v>
      </c>
      <c r="C28" s="58"/>
      <c r="D28" s="58" t="s">
        <v>378</v>
      </c>
      <c r="E28" s="58"/>
      <c r="F28" s="58"/>
      <c r="G28" s="119"/>
      <c r="H28" s="119">
        <v>0</v>
      </c>
      <c r="I28" s="119">
        <v>0</v>
      </c>
      <c r="J28" s="119">
        <v>0</v>
      </c>
      <c r="K28" s="119">
        <v>0</v>
      </c>
      <c r="L28" s="119">
        <v>0</v>
      </c>
      <c r="M28" s="119">
        <v>0</v>
      </c>
      <c r="N28" s="119">
        <v>0</v>
      </c>
      <c r="O28" s="119">
        <v>0</v>
      </c>
      <c r="P28" s="119">
        <v>0</v>
      </c>
      <c r="Q28" s="119">
        <v>0</v>
      </c>
      <c r="R28" s="119">
        <v>0</v>
      </c>
      <c r="S28" s="119">
        <v>0</v>
      </c>
      <c r="T28" s="119">
        <v>0</v>
      </c>
      <c r="U28" s="119">
        <v>0</v>
      </c>
      <c r="V28" s="119">
        <v>0</v>
      </c>
      <c r="W28" s="119">
        <v>0</v>
      </c>
      <c r="X28" s="119">
        <v>0</v>
      </c>
      <c r="Y28" s="119">
        <v>0</v>
      </c>
      <c r="Z28" s="119">
        <v>0</v>
      </c>
      <c r="AA28" s="119">
        <v>0</v>
      </c>
      <c r="AB28" s="119">
        <v>0</v>
      </c>
      <c r="AC28" s="119">
        <v>0</v>
      </c>
      <c r="AD28" s="119">
        <v>0</v>
      </c>
      <c r="AE28" s="119">
        <v>0</v>
      </c>
      <c r="AF28" s="119">
        <v>0</v>
      </c>
      <c r="AG28" s="119">
        <v>0</v>
      </c>
      <c r="AH28" s="119">
        <v>0</v>
      </c>
      <c r="AI28" s="119">
        <v>0</v>
      </c>
      <c r="AJ28" s="119">
        <v>0</v>
      </c>
      <c r="AK28" s="119">
        <v>0</v>
      </c>
      <c r="AL28" s="119">
        <v>0</v>
      </c>
      <c r="AM28" s="119">
        <v>0</v>
      </c>
      <c r="AN28" s="119">
        <v>0</v>
      </c>
      <c r="AO28" s="119">
        <v>6.8899999999999995E-17</v>
      </c>
      <c r="AP28" s="119">
        <v>1.0199999999999999E-13</v>
      </c>
      <c r="AQ28" s="119">
        <v>2.2E-16</v>
      </c>
      <c r="AR28" s="119">
        <v>2.0200000000000001E-15</v>
      </c>
      <c r="AS28" s="119">
        <v>1.2600000000000001E-17</v>
      </c>
      <c r="AT28" s="119">
        <v>3.6200000000000002E-17</v>
      </c>
      <c r="AU28" s="119">
        <v>5.7900000000000002E-17</v>
      </c>
      <c r="AV28" s="119">
        <v>12.870520000000001</v>
      </c>
      <c r="AW28" s="119">
        <v>19053.599999999999</v>
      </c>
      <c r="AX28" s="119">
        <v>41.095999999999997</v>
      </c>
      <c r="AY28" s="119">
        <v>2.36138</v>
      </c>
      <c r="AZ28" s="61">
        <v>2.3536800000000002</v>
      </c>
      <c r="BA28" s="61">
        <v>6.7621599999999997</v>
      </c>
      <c r="BB28" s="61">
        <v>10.815720000000001</v>
      </c>
      <c r="BC28" s="58">
        <v>209</v>
      </c>
      <c r="BD28" s="119">
        <v>4.1114916286149197E-6</v>
      </c>
      <c r="BE28" s="119">
        <v>168551.966682092</v>
      </c>
      <c r="BF28" s="122">
        <f t="shared" si="3"/>
        <v>168551.966682092</v>
      </c>
      <c r="BG28" s="123">
        <v>1.5006944444444399E-3</v>
      </c>
    </row>
    <row r="29" spans="1:59">
      <c r="A29" s="60" t="s">
        <v>34</v>
      </c>
      <c r="B29" s="120" t="s">
        <v>6</v>
      </c>
      <c r="C29" s="58"/>
      <c r="D29" s="58" t="s">
        <v>378</v>
      </c>
      <c r="E29" s="58"/>
      <c r="F29" s="58"/>
      <c r="G29" s="119"/>
      <c r="H29" s="119">
        <v>0</v>
      </c>
      <c r="I29" s="119">
        <v>0</v>
      </c>
      <c r="J29" s="119">
        <v>0</v>
      </c>
      <c r="K29" s="119">
        <v>0</v>
      </c>
      <c r="L29" s="119">
        <v>0</v>
      </c>
      <c r="M29" s="119">
        <v>0</v>
      </c>
      <c r="N29" s="119">
        <v>0</v>
      </c>
      <c r="O29" s="119">
        <v>0</v>
      </c>
      <c r="P29" s="119">
        <v>0</v>
      </c>
      <c r="Q29" s="119">
        <v>0</v>
      </c>
      <c r="R29" s="119">
        <v>0</v>
      </c>
      <c r="S29" s="119">
        <v>0</v>
      </c>
      <c r="T29" s="119">
        <v>0</v>
      </c>
      <c r="U29" s="119">
        <v>0</v>
      </c>
      <c r="V29" s="119">
        <v>0</v>
      </c>
      <c r="W29" s="119">
        <v>0</v>
      </c>
      <c r="X29" s="119">
        <v>0</v>
      </c>
      <c r="Y29" s="119">
        <v>0</v>
      </c>
      <c r="Z29" s="119">
        <v>0</v>
      </c>
      <c r="AA29" s="119">
        <v>0</v>
      </c>
      <c r="AB29" s="119">
        <v>0</v>
      </c>
      <c r="AC29" s="119">
        <v>0</v>
      </c>
      <c r="AD29" s="119">
        <v>0</v>
      </c>
      <c r="AE29" s="119">
        <v>0</v>
      </c>
      <c r="AF29" s="119">
        <v>0</v>
      </c>
      <c r="AG29" s="119">
        <v>0</v>
      </c>
      <c r="AH29" s="119">
        <v>0</v>
      </c>
      <c r="AI29" s="119">
        <v>0</v>
      </c>
      <c r="AJ29" s="119">
        <v>0</v>
      </c>
      <c r="AK29" s="119">
        <v>0</v>
      </c>
      <c r="AL29" s="119">
        <v>0</v>
      </c>
      <c r="AM29" s="119">
        <v>0</v>
      </c>
      <c r="AN29" s="119">
        <v>0</v>
      </c>
      <c r="AO29" s="119">
        <v>8.98E-17</v>
      </c>
      <c r="AP29" s="119">
        <v>1.3199999999999999E-13</v>
      </c>
      <c r="AQ29" s="119">
        <v>2.85E-16</v>
      </c>
      <c r="AR29" s="119">
        <v>2.6399999999999999E-15</v>
      </c>
      <c r="AS29" s="119">
        <v>1.6399999999999999E-17</v>
      </c>
      <c r="AT29" s="119">
        <v>4.7099999999999997E-17</v>
      </c>
      <c r="AU29" s="119">
        <v>7.5700000000000002E-17</v>
      </c>
      <c r="AV29" s="119">
        <v>16.774640000000002</v>
      </c>
      <c r="AW29" s="119">
        <v>24657.599999999999</v>
      </c>
      <c r="AX29" s="119">
        <v>53.238</v>
      </c>
      <c r="AY29" s="119">
        <v>3.08616</v>
      </c>
      <c r="AZ29" s="61">
        <v>3.06352</v>
      </c>
      <c r="BA29" s="61">
        <v>8.7982800000000001</v>
      </c>
      <c r="BB29" s="61">
        <v>14.14076</v>
      </c>
      <c r="BC29" s="58">
        <v>210</v>
      </c>
      <c r="BD29" s="119">
        <v>2.4733637747336398E-6</v>
      </c>
      <c r="BE29" s="119">
        <v>280185.23076923098</v>
      </c>
      <c r="BF29" s="122">
        <f t="shared" si="3"/>
        <v>280185.23076923098</v>
      </c>
      <c r="BG29" s="123">
        <v>9.0277777777777795E-4</v>
      </c>
    </row>
    <row r="30" spans="1:59">
      <c r="A30" s="60" t="s">
        <v>35</v>
      </c>
      <c r="B30" s="58" t="s">
        <v>6</v>
      </c>
      <c r="C30" s="58"/>
      <c r="D30" s="58" t="s">
        <v>377</v>
      </c>
      <c r="E30" s="58"/>
      <c r="F30" s="58"/>
      <c r="G30" s="119">
        <v>0.04</v>
      </c>
      <c r="H30" s="119">
        <v>0.02</v>
      </c>
      <c r="I30" s="119">
        <v>3.8000000000000001E-7</v>
      </c>
      <c r="J30" s="119">
        <v>1.3799999999999999E-7</v>
      </c>
      <c r="K30" s="119">
        <v>9.1699999999999994E-8</v>
      </c>
      <c r="L30" s="119">
        <v>7.7999999999999997E-8</v>
      </c>
      <c r="M30" s="119">
        <v>7.7999999999999997E-8</v>
      </c>
      <c r="N30" s="119">
        <v>5.1200000000000002E-8</v>
      </c>
      <c r="O30" s="119">
        <v>6.0199999999999996E-8</v>
      </c>
      <c r="P30" s="119">
        <v>6.0199999999999996E-8</v>
      </c>
      <c r="Q30" s="119">
        <v>1.4059999999999999E-3</v>
      </c>
      <c r="R30" s="119">
        <v>5.1060000000000005E-4</v>
      </c>
      <c r="S30" s="119">
        <v>3.3929000000000001E-4</v>
      </c>
      <c r="T30" s="119">
        <v>2.8860000000000002E-4</v>
      </c>
      <c r="U30" s="119">
        <v>2.8860000000000002E-4</v>
      </c>
      <c r="V30" s="119">
        <v>1.8944E-4</v>
      </c>
      <c r="W30" s="119">
        <v>2.2274E-4</v>
      </c>
      <c r="X30" s="119">
        <v>2.2274E-4</v>
      </c>
      <c r="Y30" s="119">
        <v>3.3699999999999999E-5</v>
      </c>
      <c r="Z30" s="119">
        <v>2.9300000000000001E-5</v>
      </c>
      <c r="AA30" s="119">
        <v>1.9000000000000001E-5</v>
      </c>
      <c r="AB30" s="119">
        <v>1.24E-5</v>
      </c>
      <c r="AC30" s="119">
        <v>1.0499999999999999E-5</v>
      </c>
      <c r="AD30" s="119">
        <v>9.5899999999999997E-6</v>
      </c>
      <c r="AE30" s="119">
        <v>1.03E-5</v>
      </c>
      <c r="AF30" s="119">
        <v>1.03E-5</v>
      </c>
      <c r="AG30" s="119">
        <v>0.12469</v>
      </c>
      <c r="AH30" s="119">
        <v>0.10841000000000001</v>
      </c>
      <c r="AI30" s="119">
        <v>7.0300000000000001E-2</v>
      </c>
      <c r="AJ30" s="119">
        <v>4.5879999999999997E-2</v>
      </c>
      <c r="AK30" s="119">
        <v>3.8850000000000003E-2</v>
      </c>
      <c r="AL30" s="119">
        <v>3.5483000000000001E-2</v>
      </c>
      <c r="AM30" s="119">
        <v>3.8109999999999998E-2</v>
      </c>
      <c r="AN30" s="119">
        <v>3.8109999999999998E-2</v>
      </c>
      <c r="AO30" s="119">
        <v>4.9199999999999999E-21</v>
      </c>
      <c r="AP30" s="119">
        <v>1.0600000000000001E-17</v>
      </c>
      <c r="AQ30" s="119">
        <v>2.3500000000000001E-20</v>
      </c>
      <c r="AR30" s="119">
        <v>4.7600000000000001E-19</v>
      </c>
      <c r="AS30" s="119">
        <v>1.45E-21</v>
      </c>
      <c r="AT30" s="119">
        <v>3.5100000000000002E-21</v>
      </c>
      <c r="AU30" s="119">
        <v>4.7600000000000003E-21</v>
      </c>
      <c r="AV30" s="119">
        <v>9.1905600000000002E-4</v>
      </c>
      <c r="AW30" s="119">
        <v>1.9800800000000001</v>
      </c>
      <c r="AX30" s="119">
        <v>4.3898000000000001E-3</v>
      </c>
      <c r="AY30" s="119">
        <v>5.5644400000000001E-4</v>
      </c>
      <c r="AZ30" s="61">
        <v>2.7085999999999999E-4</v>
      </c>
      <c r="BA30" s="61">
        <v>6.5566799999999998E-4</v>
      </c>
      <c r="BB30" s="61">
        <v>8.8916799999999997E-4</v>
      </c>
      <c r="BC30" s="58">
        <v>233</v>
      </c>
      <c r="BD30" s="119">
        <v>159200</v>
      </c>
      <c r="BE30" s="119">
        <v>4.3530150753768799E-6</v>
      </c>
      <c r="BF30" s="122">
        <f t="shared" si="3"/>
        <v>1.0000021765191975</v>
      </c>
      <c r="BG30" s="123">
        <v>58108000</v>
      </c>
    </row>
  </sheetData>
  <sheetProtection algorithmName="SHA-512" hashValue="BM/l+APc96XiqDBjr3o2E6+4iqNx2HLRRH1l5kNU1Ioyb1Zb5v21hTr9CHUxgILnJQeccXF4NDvVz/8uynJY/g==" saltValue="wYVYEc+6aQgAfdKKNOtnOw==" spinCount="100000" sheet="1" objects="1" scenarios="1"/>
  <autoFilter ref="A1:BG30" xr:uid="{00000000-0009-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RowHeight="14.25"/>
  <cols>
    <col min="1" max="1" width="15.3984375" style="1" bestFit="1" customWidth="1"/>
    <col min="2" max="2" width="11.1328125" style="1" bestFit="1" customWidth="1"/>
    <col min="3" max="3" width="13.265625" style="4" bestFit="1" customWidth="1"/>
    <col min="4" max="4" width="10.59765625" style="4" bestFit="1" customWidth="1"/>
    <col min="5" max="243" width="9.06640625" style="4"/>
    <col min="244" max="244" width="15.3984375" style="4" bestFit="1" customWidth="1"/>
    <col min="245" max="245" width="11.1328125" style="4" bestFit="1" customWidth="1"/>
    <col min="246" max="499" width="9.06640625" style="4"/>
    <col min="500" max="500" width="15.3984375" style="4" bestFit="1" customWidth="1"/>
    <col min="501" max="501" width="11.1328125" style="4" bestFit="1" customWidth="1"/>
    <col min="502" max="755" width="9.06640625" style="4"/>
    <col min="756" max="756" width="15.3984375" style="4" bestFit="1" customWidth="1"/>
    <col min="757" max="757" width="11.1328125" style="4" bestFit="1" customWidth="1"/>
    <col min="758" max="1011" width="9.06640625" style="4"/>
    <col min="1012" max="1012" width="15.3984375" style="4" bestFit="1" customWidth="1"/>
    <col min="1013" max="1013" width="11.1328125" style="4" bestFit="1" customWidth="1"/>
    <col min="1014" max="1267" width="9.06640625" style="4"/>
    <col min="1268" max="1268" width="15.3984375" style="4" bestFit="1" customWidth="1"/>
    <col min="1269" max="1269" width="11.1328125" style="4" bestFit="1" customWidth="1"/>
    <col min="1270" max="1523" width="9.06640625" style="4"/>
    <col min="1524" max="1524" width="15.3984375" style="4" bestFit="1" customWidth="1"/>
    <col min="1525" max="1525" width="11.1328125" style="4" bestFit="1" customWidth="1"/>
    <col min="1526" max="1779" width="9.06640625" style="4"/>
    <col min="1780" max="1780" width="15.3984375" style="4" bestFit="1" customWidth="1"/>
    <col min="1781" max="1781" width="11.1328125" style="4" bestFit="1" customWidth="1"/>
    <col min="1782" max="2035" width="9.06640625" style="4"/>
    <col min="2036" max="2036" width="15.3984375" style="4" bestFit="1" customWidth="1"/>
    <col min="2037" max="2037" width="11.1328125" style="4" bestFit="1" customWidth="1"/>
    <col min="2038" max="2291" width="9.06640625" style="4"/>
    <col min="2292" max="2292" width="15.3984375" style="4" bestFit="1" customWidth="1"/>
    <col min="2293" max="2293" width="11.1328125" style="4" bestFit="1" customWidth="1"/>
    <col min="2294" max="2547" width="9.06640625" style="4"/>
    <col min="2548" max="2548" width="15.3984375" style="4" bestFit="1" customWidth="1"/>
    <col min="2549" max="2549" width="11.1328125" style="4" bestFit="1" customWidth="1"/>
    <col min="2550" max="2803" width="9.06640625" style="4"/>
    <col min="2804" max="2804" width="15.3984375" style="4" bestFit="1" customWidth="1"/>
    <col min="2805" max="2805" width="11.1328125" style="4" bestFit="1" customWidth="1"/>
    <col min="2806" max="3059" width="9.06640625" style="4"/>
    <col min="3060" max="3060" width="15.3984375" style="4" bestFit="1" customWidth="1"/>
    <col min="3061" max="3061" width="11.1328125" style="4" bestFit="1" customWidth="1"/>
    <col min="3062" max="3315" width="9.06640625" style="4"/>
    <col min="3316" max="3316" width="15.3984375" style="4" bestFit="1" customWidth="1"/>
    <col min="3317" max="3317" width="11.1328125" style="4" bestFit="1" customWidth="1"/>
    <col min="3318" max="3571" width="9.06640625" style="4"/>
    <col min="3572" max="3572" width="15.3984375" style="4" bestFit="1" customWidth="1"/>
    <col min="3573" max="3573" width="11.1328125" style="4" bestFit="1" customWidth="1"/>
    <col min="3574" max="3827" width="9.06640625" style="4"/>
    <col min="3828" max="3828" width="15.3984375" style="4" bestFit="1" customWidth="1"/>
    <col min="3829" max="3829" width="11.1328125" style="4" bestFit="1" customWidth="1"/>
    <col min="3830" max="4083" width="9.06640625" style="4"/>
    <col min="4084" max="4084" width="15.3984375" style="4" bestFit="1" customWidth="1"/>
    <col min="4085" max="4085" width="11.1328125" style="4" bestFit="1" customWidth="1"/>
    <col min="4086" max="4339" width="9.06640625" style="4"/>
    <col min="4340" max="4340" width="15.3984375" style="4" bestFit="1" customWidth="1"/>
    <col min="4341" max="4341" width="11.1328125" style="4" bestFit="1" customWidth="1"/>
    <col min="4342" max="4595" width="9.06640625" style="4"/>
    <col min="4596" max="4596" width="15.3984375" style="4" bestFit="1" customWidth="1"/>
    <col min="4597" max="4597" width="11.1328125" style="4" bestFit="1" customWidth="1"/>
    <col min="4598" max="4851" width="9.06640625" style="4"/>
    <col min="4852" max="4852" width="15.3984375" style="4" bestFit="1" customWidth="1"/>
    <col min="4853" max="4853" width="11.1328125" style="4" bestFit="1" customWidth="1"/>
    <col min="4854" max="5107" width="9.06640625" style="4"/>
    <col min="5108" max="5108" width="15.3984375" style="4" bestFit="1" customWidth="1"/>
    <col min="5109" max="5109" width="11.1328125" style="4" bestFit="1" customWidth="1"/>
    <col min="5110" max="5363" width="9.06640625" style="4"/>
    <col min="5364" max="5364" width="15.3984375" style="4" bestFit="1" customWidth="1"/>
    <col min="5365" max="5365" width="11.1328125" style="4" bestFit="1" customWidth="1"/>
    <col min="5366" max="5619" width="9.06640625" style="4"/>
    <col min="5620" max="5620" width="15.3984375" style="4" bestFit="1" customWidth="1"/>
    <col min="5621" max="5621" width="11.1328125" style="4" bestFit="1" customWidth="1"/>
    <col min="5622" max="5875" width="9.06640625" style="4"/>
    <col min="5876" max="5876" width="15.3984375" style="4" bestFit="1" customWidth="1"/>
    <col min="5877" max="5877" width="11.1328125" style="4" bestFit="1" customWidth="1"/>
    <col min="5878" max="6131" width="9.06640625" style="4"/>
    <col min="6132" max="6132" width="15.3984375" style="4" bestFit="1" customWidth="1"/>
    <col min="6133" max="6133" width="11.1328125" style="4" bestFit="1" customWidth="1"/>
    <col min="6134" max="6387" width="9.06640625" style="4"/>
    <col min="6388" max="6388" width="15.3984375" style="4" bestFit="1" customWidth="1"/>
    <col min="6389" max="6389" width="11.1328125" style="4" bestFit="1" customWidth="1"/>
    <col min="6390" max="6643" width="9.06640625" style="4"/>
    <col min="6644" max="6644" width="15.3984375" style="4" bestFit="1" customWidth="1"/>
    <col min="6645" max="6645" width="11.1328125" style="4" bestFit="1" customWidth="1"/>
    <col min="6646" max="6899" width="9.06640625" style="4"/>
    <col min="6900" max="6900" width="15.3984375" style="4" bestFit="1" customWidth="1"/>
    <col min="6901" max="6901" width="11.1328125" style="4" bestFit="1" customWidth="1"/>
    <col min="6902" max="7155" width="9.06640625" style="4"/>
    <col min="7156" max="7156" width="15.3984375" style="4" bestFit="1" customWidth="1"/>
    <col min="7157" max="7157" width="11.1328125" style="4" bestFit="1" customWidth="1"/>
    <col min="7158" max="7411" width="9.06640625" style="4"/>
    <col min="7412" max="7412" width="15.3984375" style="4" bestFit="1" customWidth="1"/>
    <col min="7413" max="7413" width="11.1328125" style="4" bestFit="1" customWidth="1"/>
    <col min="7414" max="7667" width="9.06640625" style="4"/>
    <col min="7668" max="7668" width="15.3984375" style="4" bestFit="1" customWidth="1"/>
    <col min="7669" max="7669" width="11.1328125" style="4" bestFit="1" customWidth="1"/>
    <col min="7670" max="7923" width="9.06640625" style="4"/>
    <col min="7924" max="7924" width="15.3984375" style="4" bestFit="1" customWidth="1"/>
    <col min="7925" max="7925" width="11.1328125" style="4" bestFit="1" customWidth="1"/>
    <col min="7926" max="8179" width="9.06640625" style="4"/>
    <col min="8180" max="8180" width="15.3984375" style="4" bestFit="1" customWidth="1"/>
    <col min="8181" max="8181" width="11.1328125" style="4" bestFit="1" customWidth="1"/>
    <col min="8182" max="8435" width="9.06640625" style="4"/>
    <col min="8436" max="8436" width="15.3984375" style="4" bestFit="1" customWidth="1"/>
    <col min="8437" max="8437" width="11.1328125" style="4" bestFit="1" customWidth="1"/>
    <col min="8438" max="8691" width="9.06640625" style="4"/>
    <col min="8692" max="8692" width="15.3984375" style="4" bestFit="1" customWidth="1"/>
    <col min="8693" max="8693" width="11.1328125" style="4" bestFit="1" customWidth="1"/>
    <col min="8694" max="8947" width="9.06640625" style="4"/>
    <col min="8948" max="8948" width="15.3984375" style="4" bestFit="1" customWidth="1"/>
    <col min="8949" max="8949" width="11.1328125" style="4" bestFit="1" customWidth="1"/>
    <col min="8950" max="9203" width="9.06640625" style="4"/>
    <col min="9204" max="9204" width="15.3984375" style="4" bestFit="1" customWidth="1"/>
    <col min="9205" max="9205" width="11.1328125" style="4" bestFit="1" customWidth="1"/>
    <col min="9206" max="9459" width="9.06640625" style="4"/>
    <col min="9460" max="9460" width="15.3984375" style="4" bestFit="1" customWidth="1"/>
    <col min="9461" max="9461" width="11.1328125" style="4" bestFit="1" customWidth="1"/>
    <col min="9462" max="9715" width="9.06640625" style="4"/>
    <col min="9716" max="9716" width="15.3984375" style="4" bestFit="1" customWidth="1"/>
    <col min="9717" max="9717" width="11.1328125" style="4" bestFit="1" customWidth="1"/>
    <col min="9718" max="9971" width="9.06640625" style="4"/>
    <col min="9972" max="9972" width="15.3984375" style="4" bestFit="1" customWidth="1"/>
    <col min="9973" max="9973" width="11.1328125" style="4" bestFit="1" customWidth="1"/>
    <col min="9974" max="10227" width="9.06640625" style="4"/>
    <col min="10228" max="10228" width="15.3984375" style="4" bestFit="1" customWidth="1"/>
    <col min="10229" max="10229" width="11.1328125" style="4" bestFit="1" customWidth="1"/>
    <col min="10230" max="10483" width="9.06640625" style="4"/>
    <col min="10484" max="10484" width="15.3984375" style="4" bestFit="1" customWidth="1"/>
    <col min="10485" max="10485" width="11.1328125" style="4" bestFit="1" customWidth="1"/>
    <col min="10486" max="10739" width="9.06640625" style="4"/>
    <col min="10740" max="10740" width="15.3984375" style="4" bestFit="1" customWidth="1"/>
    <col min="10741" max="10741" width="11.1328125" style="4" bestFit="1" customWidth="1"/>
    <col min="10742" max="10995" width="9.06640625" style="4"/>
    <col min="10996" max="10996" width="15.3984375" style="4" bestFit="1" customWidth="1"/>
    <col min="10997" max="10997" width="11.1328125" style="4" bestFit="1" customWidth="1"/>
    <col min="10998" max="11251" width="9.06640625" style="4"/>
    <col min="11252" max="11252" width="15.3984375" style="4" bestFit="1" customWidth="1"/>
    <col min="11253" max="11253" width="11.1328125" style="4" bestFit="1" customWidth="1"/>
    <col min="11254" max="11507" width="9.06640625" style="4"/>
    <col min="11508" max="11508" width="15.3984375" style="4" bestFit="1" customWidth="1"/>
    <col min="11509" max="11509" width="11.1328125" style="4" bestFit="1" customWidth="1"/>
    <col min="11510" max="11763" width="9.06640625" style="4"/>
    <col min="11764" max="11764" width="15.3984375" style="4" bestFit="1" customWidth="1"/>
    <col min="11765" max="11765" width="11.1328125" style="4" bestFit="1" customWidth="1"/>
    <col min="11766" max="12019" width="9.06640625" style="4"/>
    <col min="12020" max="12020" width="15.3984375" style="4" bestFit="1" customWidth="1"/>
    <col min="12021" max="12021" width="11.1328125" style="4" bestFit="1" customWidth="1"/>
    <col min="12022" max="12275" width="9.06640625" style="4"/>
    <col min="12276" max="12276" width="15.3984375" style="4" bestFit="1" customWidth="1"/>
    <col min="12277" max="12277" width="11.1328125" style="4" bestFit="1" customWidth="1"/>
    <col min="12278" max="12531" width="9.06640625" style="4"/>
    <col min="12532" max="12532" width="15.3984375" style="4" bestFit="1" customWidth="1"/>
    <col min="12533" max="12533" width="11.1328125" style="4" bestFit="1" customWidth="1"/>
    <col min="12534" max="12787" width="9.06640625" style="4"/>
    <col min="12788" max="12788" width="15.3984375" style="4" bestFit="1" customWidth="1"/>
    <col min="12789" max="12789" width="11.1328125" style="4" bestFit="1" customWidth="1"/>
    <col min="12790" max="13043" width="9.06640625" style="4"/>
    <col min="13044" max="13044" width="15.3984375" style="4" bestFit="1" customWidth="1"/>
    <col min="13045" max="13045" width="11.1328125" style="4" bestFit="1" customWidth="1"/>
    <col min="13046" max="13299" width="9.06640625" style="4"/>
    <col min="13300" max="13300" width="15.3984375" style="4" bestFit="1" customWidth="1"/>
    <col min="13301" max="13301" width="11.1328125" style="4" bestFit="1" customWidth="1"/>
    <col min="13302" max="13555" width="9.06640625" style="4"/>
    <col min="13556" max="13556" width="15.3984375" style="4" bestFit="1" customWidth="1"/>
    <col min="13557" max="13557" width="11.1328125" style="4" bestFit="1" customWidth="1"/>
    <col min="13558" max="13811" width="9.06640625" style="4"/>
    <col min="13812" max="13812" width="15.3984375" style="4" bestFit="1" customWidth="1"/>
    <col min="13813" max="13813" width="11.1328125" style="4" bestFit="1" customWidth="1"/>
    <col min="13814" max="14067" width="9.06640625" style="4"/>
    <col min="14068" max="14068" width="15.3984375" style="4" bestFit="1" customWidth="1"/>
    <col min="14069" max="14069" width="11.1328125" style="4" bestFit="1" customWidth="1"/>
    <col min="14070" max="14323" width="9.06640625" style="4"/>
    <col min="14324" max="14324" width="15.3984375" style="4" bestFit="1" customWidth="1"/>
    <col min="14325" max="14325" width="11.1328125" style="4" bestFit="1" customWidth="1"/>
    <col min="14326" max="14579" width="9.06640625" style="4"/>
    <col min="14580" max="14580" width="15.3984375" style="4" bestFit="1" customWidth="1"/>
    <col min="14581" max="14581" width="11.1328125" style="4" bestFit="1" customWidth="1"/>
    <col min="14582" max="14835" width="9.06640625" style="4"/>
    <col min="14836" max="14836" width="15.3984375" style="4" bestFit="1" customWidth="1"/>
    <col min="14837" max="14837" width="11.1328125" style="4" bestFit="1" customWidth="1"/>
    <col min="14838" max="15091" width="9.06640625" style="4"/>
    <col min="15092" max="15092" width="15.3984375" style="4" bestFit="1" customWidth="1"/>
    <col min="15093" max="15093" width="11.1328125" style="4" bestFit="1" customWidth="1"/>
    <col min="15094" max="15347" width="9.06640625" style="4"/>
    <col min="15348" max="15348" width="15.3984375" style="4" bestFit="1" customWidth="1"/>
    <col min="15349" max="15349" width="11.1328125" style="4" bestFit="1" customWidth="1"/>
    <col min="15350" max="15603" width="9.06640625" style="4"/>
    <col min="15604" max="15604" width="15.3984375" style="4" bestFit="1" customWidth="1"/>
    <col min="15605" max="15605" width="11.1328125" style="4" bestFit="1" customWidth="1"/>
    <col min="15606" max="15859" width="9.06640625" style="4"/>
    <col min="15860" max="15860" width="15.3984375" style="4" bestFit="1" customWidth="1"/>
    <col min="15861" max="15861" width="11.1328125" style="4" bestFit="1" customWidth="1"/>
    <col min="15862" max="16115" width="9.06640625" style="4"/>
    <col min="16116" max="16116" width="15.3984375" style="4" bestFit="1" customWidth="1"/>
    <col min="16117" max="16117" width="11.1328125" style="4" bestFit="1" customWidth="1"/>
    <col min="16118" max="16384" width="9.06640625" style="4"/>
  </cols>
  <sheetData>
    <row r="1" spans="1:4">
      <c r="A1" s="57" t="s">
        <v>323</v>
      </c>
      <c r="B1" s="117" t="s">
        <v>324</v>
      </c>
      <c r="C1" s="57" t="s">
        <v>212</v>
      </c>
      <c r="D1" s="57" t="s">
        <v>271</v>
      </c>
    </row>
    <row r="2" spans="1:4">
      <c r="A2" s="60" t="s">
        <v>5</v>
      </c>
      <c r="B2" s="58" t="s">
        <v>6</v>
      </c>
      <c r="C2" s="58">
        <v>1.409</v>
      </c>
      <c r="D2" s="58">
        <v>1.171</v>
      </c>
    </row>
    <row r="3" spans="1:4">
      <c r="A3" s="62" t="s">
        <v>7</v>
      </c>
      <c r="B3" s="58" t="s">
        <v>8</v>
      </c>
      <c r="C3" s="58">
        <v>1.393</v>
      </c>
      <c r="D3" s="58">
        <v>1.1930000000000001</v>
      </c>
    </row>
    <row r="4" spans="1:4">
      <c r="A4" s="60" t="s">
        <v>9</v>
      </c>
      <c r="B4" s="58" t="s">
        <v>6</v>
      </c>
      <c r="C4" s="58">
        <v>1.212</v>
      </c>
      <c r="D4" s="58">
        <v>1.006</v>
      </c>
    </row>
    <row r="5" spans="1:4">
      <c r="A5" s="60" t="s">
        <v>10</v>
      </c>
      <c r="B5" s="120" t="s">
        <v>6</v>
      </c>
      <c r="C5" s="58">
        <v>1.4950000000000001</v>
      </c>
      <c r="D5" s="58">
        <v>1.196</v>
      </c>
    </row>
    <row r="6" spans="1:4">
      <c r="A6" s="60" t="s">
        <v>11</v>
      </c>
      <c r="B6" s="58" t="s">
        <v>6</v>
      </c>
      <c r="C6" s="58">
        <v>1.19</v>
      </c>
      <c r="D6" s="58">
        <v>0.98499999999999999</v>
      </c>
    </row>
    <row r="7" spans="1:4">
      <c r="A7" s="60" t="s">
        <v>12</v>
      </c>
      <c r="B7" s="120" t="s">
        <v>6</v>
      </c>
      <c r="C7" s="58">
        <v>1.254</v>
      </c>
      <c r="D7" s="58">
        <v>1.0720000000000001</v>
      </c>
    </row>
    <row r="8" spans="1:4">
      <c r="A8" s="60" t="s">
        <v>13</v>
      </c>
      <c r="B8" s="58" t="s">
        <v>6</v>
      </c>
      <c r="C8" s="58">
        <v>1.2130000000000001</v>
      </c>
      <c r="D8" s="58">
        <v>1.0089999999999999</v>
      </c>
    </row>
    <row r="9" spans="1:4">
      <c r="A9" s="60" t="s">
        <v>14</v>
      </c>
      <c r="B9" s="120" t="s">
        <v>6</v>
      </c>
      <c r="C9" s="58">
        <v>1.155</v>
      </c>
      <c r="D9" s="58">
        <v>0.94499999999999995</v>
      </c>
    </row>
    <row r="10" spans="1:4">
      <c r="A10" s="62" t="s">
        <v>15</v>
      </c>
      <c r="B10" s="58" t="s">
        <v>8</v>
      </c>
      <c r="C10" s="58">
        <v>1.254</v>
      </c>
      <c r="D10" s="58">
        <v>1.0720000000000001</v>
      </c>
    </row>
    <row r="11" spans="1:4">
      <c r="A11" s="60" t="s">
        <v>16</v>
      </c>
      <c r="B11" s="58" t="s">
        <v>6</v>
      </c>
      <c r="C11" s="58">
        <v>1.2689999999999999</v>
      </c>
      <c r="D11" s="58">
        <v>1.0640000000000001</v>
      </c>
    </row>
    <row r="12" spans="1:4">
      <c r="A12" s="60" t="s">
        <v>17</v>
      </c>
      <c r="B12" s="120" t="s">
        <v>6</v>
      </c>
      <c r="C12" s="58"/>
      <c r="D12" s="58"/>
    </row>
    <row r="13" spans="1:4">
      <c r="A13" s="60" t="s">
        <v>18</v>
      </c>
      <c r="B13" s="58" t="s">
        <v>6</v>
      </c>
      <c r="C13" s="58">
        <v>1.3979999999999999</v>
      </c>
      <c r="D13" s="58">
        <v>1.19</v>
      </c>
    </row>
    <row r="14" spans="1:4">
      <c r="A14" s="60" t="s">
        <v>19</v>
      </c>
      <c r="B14" s="58" t="s">
        <v>6</v>
      </c>
      <c r="C14" s="58">
        <v>1.292</v>
      </c>
      <c r="D14" s="58">
        <v>1.091</v>
      </c>
    </row>
    <row r="15" spans="1:4">
      <c r="A15" s="60" t="s">
        <v>20</v>
      </c>
      <c r="B15" s="58" t="s">
        <v>6</v>
      </c>
      <c r="C15" s="58">
        <v>1.254</v>
      </c>
      <c r="D15" s="58">
        <v>1.0720000000000001</v>
      </c>
    </row>
    <row r="16" spans="1:4">
      <c r="A16" s="62" t="s">
        <v>21</v>
      </c>
      <c r="B16" s="120" t="s">
        <v>6</v>
      </c>
      <c r="C16" s="58">
        <v>1.4990000000000001</v>
      </c>
      <c r="D16" s="58">
        <v>1.1990000000000001</v>
      </c>
    </row>
    <row r="17" spans="1:4">
      <c r="A17" s="60" t="s">
        <v>22</v>
      </c>
      <c r="B17" s="120" t="s">
        <v>6</v>
      </c>
      <c r="C17" s="58">
        <v>1.248</v>
      </c>
      <c r="D17" s="58">
        <v>1.038</v>
      </c>
    </row>
    <row r="18" spans="1:4">
      <c r="A18" s="60" t="s">
        <v>23</v>
      </c>
      <c r="B18" s="120" t="s">
        <v>6</v>
      </c>
      <c r="C18" s="58">
        <v>1.179</v>
      </c>
      <c r="D18" s="58">
        <v>0.97199999999999998</v>
      </c>
    </row>
    <row r="19" spans="1:4">
      <c r="A19" s="60" t="s">
        <v>24</v>
      </c>
      <c r="B19" s="58" t="s">
        <v>6</v>
      </c>
      <c r="C19" s="58">
        <v>0</v>
      </c>
      <c r="D19" s="58">
        <v>0</v>
      </c>
    </row>
    <row r="20" spans="1:4">
      <c r="A20" s="60" t="s">
        <v>25</v>
      </c>
      <c r="B20" s="120" t="s">
        <v>6</v>
      </c>
      <c r="C20" s="58">
        <v>1.179</v>
      </c>
      <c r="D20" s="58">
        <v>0.97199999999999998</v>
      </c>
    </row>
    <row r="21" spans="1:4">
      <c r="A21" s="60" t="s">
        <v>26</v>
      </c>
      <c r="B21" s="120" t="s">
        <v>6</v>
      </c>
      <c r="C21" s="58">
        <v>1.177</v>
      </c>
      <c r="D21" s="58">
        <v>0.97</v>
      </c>
    </row>
    <row r="22" spans="1:4">
      <c r="A22" s="60" t="s">
        <v>27</v>
      </c>
      <c r="B22" s="58" t="s">
        <v>6</v>
      </c>
      <c r="C22" s="58">
        <v>1.379</v>
      </c>
      <c r="D22" s="58">
        <v>1.17</v>
      </c>
    </row>
    <row r="23" spans="1:4">
      <c r="A23" s="62" t="s">
        <v>28</v>
      </c>
      <c r="B23" s="120" t="s">
        <v>8</v>
      </c>
      <c r="C23" s="58">
        <v>1.292</v>
      </c>
      <c r="D23" s="58">
        <v>1.085</v>
      </c>
    </row>
    <row r="24" spans="1:4">
      <c r="A24" s="60" t="s">
        <v>29</v>
      </c>
      <c r="B24" s="120" t="s">
        <v>6</v>
      </c>
      <c r="C24" s="58">
        <v>1.1930000000000001</v>
      </c>
      <c r="D24" s="58">
        <v>0.98899999999999999</v>
      </c>
    </row>
    <row r="25" spans="1:4">
      <c r="A25" s="62" t="s">
        <v>30</v>
      </c>
      <c r="B25" s="120" t="s">
        <v>8</v>
      </c>
      <c r="C25" s="58">
        <v>1.2010000000000001</v>
      </c>
      <c r="D25" s="58">
        <v>0.999</v>
      </c>
    </row>
    <row r="26" spans="1:4">
      <c r="A26" s="60" t="s">
        <v>31</v>
      </c>
      <c r="B26" s="58" t="s">
        <v>6</v>
      </c>
      <c r="C26" s="58">
        <v>1.3979999999999999</v>
      </c>
      <c r="D26" s="58">
        <v>1.17</v>
      </c>
    </row>
    <row r="27" spans="1:4">
      <c r="A27" s="60" t="s">
        <v>32</v>
      </c>
      <c r="B27" s="120" t="s">
        <v>6</v>
      </c>
      <c r="C27" s="58">
        <v>1.335</v>
      </c>
      <c r="D27" s="58">
        <v>1.0880000000000001</v>
      </c>
    </row>
    <row r="28" spans="1:4">
      <c r="A28" s="60" t="s">
        <v>33</v>
      </c>
      <c r="B28" s="58" t="s">
        <v>6</v>
      </c>
      <c r="C28" s="58">
        <v>1.161</v>
      </c>
      <c r="D28" s="58">
        <v>0.95099999999999996</v>
      </c>
    </row>
    <row r="29" spans="1:4">
      <c r="A29" s="60" t="s">
        <v>34</v>
      </c>
      <c r="B29" s="120" t="s">
        <v>6</v>
      </c>
      <c r="C29" s="58"/>
      <c r="D29" s="58"/>
    </row>
    <row r="30" spans="1:4">
      <c r="A30" s="60" t="s">
        <v>35</v>
      </c>
      <c r="B30" s="58" t="s">
        <v>6</v>
      </c>
      <c r="C30" s="58">
        <v>1.43</v>
      </c>
      <c r="D30" s="58">
        <v>1.208</v>
      </c>
    </row>
  </sheetData>
  <sheetProtection algorithmName="SHA-512" hashValue="xFBoCrIWPmSKH2rbv1YV9TkXUO5WaE7kT/KBu6fShRshSt8sTl+OY1o1wz4omfIX092j9//ZFxqi1ZUUGDsSFA==" saltValue="UdBpudNbIio7hhPQKECKhg==" spinCount="100000" sheet="1" objects="1" scenarios="1"/>
  <autoFilter ref="A1:D30" xr:uid="{00000000-0009-0000-0000-000001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workbookViewId="0">
      <pane xSplit="2" ySplit="1" topLeftCell="C2" activePane="bottomRight" state="frozen"/>
      <selection pane="topRight" activeCell="F1" sqref="F1"/>
      <selection pane="bottomLeft" activeCell="A2" sqref="A2"/>
      <selection pane="bottomRight" activeCell="C2" sqref="C2"/>
    </sheetView>
  </sheetViews>
  <sheetFormatPr defaultRowHeight="14.25"/>
  <cols>
    <col min="1" max="1" width="12.59765625" style="4" bestFit="1" customWidth="1"/>
    <col min="2" max="2" width="8.86328125" style="4" bestFit="1" customWidth="1"/>
    <col min="3" max="3" width="12" style="4" bestFit="1" customWidth="1"/>
    <col min="4" max="4" width="11.86328125" style="4" bestFit="1" customWidth="1"/>
    <col min="5" max="5" width="12.3984375" style="4" bestFit="1" customWidth="1"/>
    <col min="6" max="6" width="12.86328125" style="4" bestFit="1" customWidth="1"/>
    <col min="7" max="7" width="13.86328125" style="4" bestFit="1" customWidth="1"/>
    <col min="8" max="8" width="12" style="5" customWidth="1"/>
    <col min="9" max="9" width="11.86328125" style="5" customWidth="1"/>
    <col min="10" max="11" width="12.86328125" style="5" customWidth="1"/>
    <col min="12" max="12" width="13.86328125" style="5" customWidth="1"/>
    <col min="13" max="16384" width="9.06640625" style="4"/>
  </cols>
  <sheetData>
    <row r="1" spans="1:12">
      <c r="A1" s="57" t="s">
        <v>323</v>
      </c>
      <c r="B1" s="117" t="s">
        <v>324</v>
      </c>
      <c r="C1" s="57" t="s">
        <v>381</v>
      </c>
      <c r="D1" s="57" t="s">
        <v>382</v>
      </c>
      <c r="E1" s="57" t="s">
        <v>383</v>
      </c>
      <c r="F1" s="57" t="s">
        <v>384</v>
      </c>
      <c r="G1" s="57" t="s">
        <v>385</v>
      </c>
      <c r="H1" s="118" t="s">
        <v>266</v>
      </c>
      <c r="I1" s="118" t="s">
        <v>267</v>
      </c>
      <c r="J1" s="118" t="s">
        <v>268</v>
      </c>
      <c r="K1" s="118" t="s">
        <v>269</v>
      </c>
      <c r="L1" s="118" t="s">
        <v>270</v>
      </c>
    </row>
    <row r="2" spans="1:12">
      <c r="A2" s="60" t="s">
        <v>5</v>
      </c>
      <c r="B2" s="58" t="s">
        <v>6</v>
      </c>
      <c r="C2" s="58">
        <v>1</v>
      </c>
      <c r="D2" s="58">
        <v>1</v>
      </c>
      <c r="E2" s="58">
        <v>1</v>
      </c>
      <c r="F2" s="58">
        <v>1</v>
      </c>
      <c r="G2" s="58">
        <v>1</v>
      </c>
      <c r="H2" s="119">
        <v>0.98115942028985503</v>
      </c>
      <c r="I2" s="119">
        <v>0.94192634560906496</v>
      </c>
      <c r="J2" s="119">
        <v>0.931707317073171</v>
      </c>
      <c r="K2" s="119">
        <v>0.91452991452991494</v>
      </c>
      <c r="L2" s="119">
        <v>0.91685393258426995</v>
      </c>
    </row>
    <row r="3" spans="1:12">
      <c r="A3" s="62" t="s">
        <v>7</v>
      </c>
      <c r="B3" s="58" t="s">
        <v>8</v>
      </c>
      <c r="C3" s="58">
        <v>1</v>
      </c>
      <c r="D3" s="58">
        <v>1</v>
      </c>
      <c r="E3" s="58">
        <v>1</v>
      </c>
      <c r="F3" s="58">
        <v>1</v>
      </c>
      <c r="G3" s="58">
        <v>1</v>
      </c>
      <c r="H3" s="119">
        <v>0.98581560283687897</v>
      </c>
      <c r="I3" s="119">
        <v>0.95726495726495697</v>
      </c>
      <c r="J3" s="119">
        <v>0.93096234309623405</v>
      </c>
      <c r="K3" s="119">
        <v>0.90049751243781095</v>
      </c>
      <c r="L3" s="119">
        <v>0.87357630979498901</v>
      </c>
    </row>
    <row r="4" spans="1:12">
      <c r="A4" s="60" t="s">
        <v>9</v>
      </c>
      <c r="B4" s="58" t="s">
        <v>6</v>
      </c>
      <c r="C4" s="58">
        <v>1</v>
      </c>
      <c r="D4" s="58">
        <v>1</v>
      </c>
      <c r="E4" s="58">
        <v>1</v>
      </c>
      <c r="F4" s="58">
        <v>1</v>
      </c>
      <c r="G4" s="58">
        <v>1</v>
      </c>
      <c r="H4" s="119">
        <v>0.914201183431953</v>
      </c>
      <c r="I4" s="119">
        <v>0.85714285714285698</v>
      </c>
      <c r="J4" s="119">
        <v>0.90909090909090895</v>
      </c>
      <c r="K4" s="119">
        <v>0.91269841269841301</v>
      </c>
      <c r="L4" s="119">
        <v>0.89869753979739497</v>
      </c>
    </row>
    <row r="5" spans="1:12">
      <c r="A5" s="60" t="s">
        <v>10</v>
      </c>
      <c r="B5" s="120" t="s">
        <v>6</v>
      </c>
      <c r="C5" s="58">
        <v>0.9</v>
      </c>
      <c r="D5" s="58">
        <v>0.9</v>
      </c>
      <c r="E5" s="58">
        <v>0.9</v>
      </c>
      <c r="F5" s="58">
        <v>0.9</v>
      </c>
      <c r="G5" s="58">
        <v>0.9</v>
      </c>
      <c r="H5" s="119">
        <v>0.9</v>
      </c>
      <c r="I5" s="119">
        <v>0.9</v>
      </c>
      <c r="J5" s="119">
        <v>0.9</v>
      </c>
      <c r="K5" s="119">
        <v>0.9</v>
      </c>
      <c r="L5" s="119">
        <v>0.9</v>
      </c>
    </row>
    <row r="6" spans="1:12">
      <c r="A6" s="60" t="s">
        <v>11</v>
      </c>
      <c r="B6" s="58" t="s">
        <v>6</v>
      </c>
      <c r="C6" s="58">
        <v>1</v>
      </c>
      <c r="D6" s="58">
        <v>1</v>
      </c>
      <c r="E6" s="58">
        <v>1</v>
      </c>
      <c r="F6" s="58">
        <v>1</v>
      </c>
      <c r="G6" s="58">
        <v>1</v>
      </c>
      <c r="H6" s="119">
        <v>0.88636363636363602</v>
      </c>
      <c r="I6" s="119">
        <v>0.91519434628975305</v>
      </c>
      <c r="J6" s="119">
        <v>0.93487394957983205</v>
      </c>
      <c r="K6" s="119">
        <v>0.91752577319587603</v>
      </c>
      <c r="L6" s="119">
        <v>0.95541401273885396</v>
      </c>
    </row>
    <row r="7" spans="1:12">
      <c r="A7" s="60" t="s">
        <v>12</v>
      </c>
      <c r="B7" s="120" t="s">
        <v>6</v>
      </c>
      <c r="C7" s="58">
        <v>1</v>
      </c>
      <c r="D7" s="58">
        <v>1</v>
      </c>
      <c r="E7" s="58">
        <v>1</v>
      </c>
      <c r="F7" s="58">
        <v>1</v>
      </c>
      <c r="G7" s="58">
        <v>1</v>
      </c>
      <c r="H7" s="119">
        <v>0.90997566909975702</v>
      </c>
      <c r="I7" s="119">
        <v>0.867088607594937</v>
      </c>
      <c r="J7" s="119">
        <v>0.90839694656488501</v>
      </c>
      <c r="K7" s="119">
        <v>0.92993630573248398</v>
      </c>
      <c r="L7" s="119">
        <v>0.87429854096520798</v>
      </c>
    </row>
    <row r="8" spans="1:12">
      <c r="A8" s="60" t="s">
        <v>13</v>
      </c>
      <c r="B8" s="58" t="s">
        <v>6</v>
      </c>
      <c r="C8" s="58">
        <v>1</v>
      </c>
      <c r="D8" s="58">
        <v>1</v>
      </c>
      <c r="E8" s="58">
        <v>1</v>
      </c>
      <c r="F8" s="58">
        <v>1</v>
      </c>
      <c r="G8" s="58">
        <v>1</v>
      </c>
      <c r="H8" s="119">
        <v>0.88690476190476197</v>
      </c>
      <c r="I8" s="119">
        <v>0.97311827956989205</v>
      </c>
      <c r="J8" s="119">
        <v>0.93904761904761902</v>
      </c>
      <c r="K8" s="119">
        <v>0.93809523809523798</v>
      </c>
      <c r="L8" s="119">
        <v>0.89295774647887305</v>
      </c>
    </row>
    <row r="9" spans="1:12">
      <c r="A9" s="60" t="s">
        <v>14</v>
      </c>
      <c r="B9" s="120" t="s">
        <v>6</v>
      </c>
      <c r="C9" s="58">
        <v>1</v>
      </c>
      <c r="D9" s="58">
        <v>1</v>
      </c>
      <c r="E9" s="58">
        <v>1</v>
      </c>
      <c r="F9" s="58">
        <v>1</v>
      </c>
      <c r="G9" s="58">
        <v>1</v>
      </c>
      <c r="H9" s="119">
        <v>0.86585365853658502</v>
      </c>
      <c r="I9" s="119">
        <v>0.94236311239193105</v>
      </c>
      <c r="J9" s="119">
        <v>0.934579439252336</v>
      </c>
      <c r="K9" s="119">
        <v>0.94453004622496095</v>
      </c>
      <c r="L9" s="119">
        <v>0.9375</v>
      </c>
    </row>
    <row r="10" spans="1:12">
      <c r="A10" s="62" t="s">
        <v>15</v>
      </c>
      <c r="B10" s="58" t="s">
        <v>8</v>
      </c>
      <c r="C10" s="58">
        <v>1</v>
      </c>
      <c r="D10" s="58">
        <v>1</v>
      </c>
      <c r="E10" s="58">
        <v>1</v>
      </c>
      <c r="F10" s="58">
        <v>1</v>
      </c>
      <c r="G10" s="58">
        <v>1</v>
      </c>
      <c r="H10" s="119">
        <v>0.90521327014218</v>
      </c>
      <c r="I10" s="119">
        <v>0.85365853658536595</v>
      </c>
      <c r="J10" s="119">
        <v>0.91304347826086996</v>
      </c>
      <c r="K10" s="119">
        <v>0.92797118847538995</v>
      </c>
      <c r="L10" s="119">
        <v>0.87368421052631595</v>
      </c>
    </row>
    <row r="11" spans="1:12">
      <c r="A11" s="60" t="s">
        <v>16</v>
      </c>
      <c r="B11" s="58" t="s">
        <v>6</v>
      </c>
      <c r="C11" s="58">
        <v>1</v>
      </c>
      <c r="D11" s="58">
        <v>1</v>
      </c>
      <c r="E11" s="58">
        <v>1</v>
      </c>
      <c r="F11" s="58">
        <v>1</v>
      </c>
      <c r="G11" s="58">
        <v>1</v>
      </c>
      <c r="H11" s="119">
        <v>0.92753623188405798</v>
      </c>
      <c r="I11" s="119">
        <v>0.82352941176470595</v>
      </c>
      <c r="J11" s="119">
        <v>0.890625</v>
      </c>
      <c r="K11" s="119">
        <v>0.908496732026144</v>
      </c>
      <c r="L11" s="119">
        <v>0.88038277511961704</v>
      </c>
    </row>
    <row r="12" spans="1:12">
      <c r="A12" s="60" t="s">
        <v>17</v>
      </c>
      <c r="B12" s="120" t="s">
        <v>6</v>
      </c>
      <c r="C12" s="58">
        <v>1</v>
      </c>
      <c r="D12" s="58">
        <v>1</v>
      </c>
      <c r="E12" s="58">
        <v>1</v>
      </c>
      <c r="F12" s="58">
        <v>1</v>
      </c>
      <c r="G12" s="58">
        <v>1</v>
      </c>
      <c r="H12" s="119">
        <v>0.90184049079754602</v>
      </c>
      <c r="I12" s="119">
        <v>0.89376053962900504</v>
      </c>
      <c r="J12" s="119">
        <v>0.92254901960784297</v>
      </c>
      <c r="K12" s="119">
        <v>0.92845528455284598</v>
      </c>
      <c r="L12" s="119">
        <v>0.88405797101449302</v>
      </c>
    </row>
    <row r="13" spans="1:12">
      <c r="A13" s="60" t="s">
        <v>18</v>
      </c>
      <c r="B13" s="58" t="s">
        <v>6</v>
      </c>
      <c r="C13" s="58">
        <v>1</v>
      </c>
      <c r="D13" s="58">
        <v>1</v>
      </c>
      <c r="E13" s="58">
        <v>1</v>
      </c>
      <c r="F13" s="58">
        <v>1</v>
      </c>
      <c r="G13" s="58">
        <v>1</v>
      </c>
      <c r="H13" s="119">
        <v>0.98969072164948502</v>
      </c>
      <c r="I13" s="119">
        <v>0.98540145985401395</v>
      </c>
      <c r="J13" s="119">
        <v>0.95212765957446799</v>
      </c>
      <c r="K13" s="119">
        <v>0.93488372093023298</v>
      </c>
      <c r="L13" s="119">
        <v>0.93722466960352402</v>
      </c>
    </row>
    <row r="14" spans="1:12">
      <c r="A14" s="60" t="s">
        <v>19</v>
      </c>
      <c r="B14" s="58" t="s">
        <v>6</v>
      </c>
      <c r="C14" s="58">
        <v>1</v>
      </c>
      <c r="D14" s="58">
        <v>1</v>
      </c>
      <c r="E14" s="58">
        <v>1</v>
      </c>
      <c r="F14" s="58">
        <v>1</v>
      </c>
      <c r="G14" s="58">
        <v>1</v>
      </c>
      <c r="H14" s="119">
        <v>0.93203883495145601</v>
      </c>
      <c r="I14" s="119">
        <v>0.922115384615385</v>
      </c>
      <c r="J14" s="119">
        <v>0.92718446601941695</v>
      </c>
      <c r="K14" s="119">
        <v>0.93043478260869505</v>
      </c>
      <c r="L14" s="119">
        <v>0.88959999999999995</v>
      </c>
    </row>
    <row r="15" spans="1:12">
      <c r="A15" s="60" t="s">
        <v>20</v>
      </c>
      <c r="B15" s="58" t="s">
        <v>6</v>
      </c>
      <c r="C15" s="58">
        <v>0.9</v>
      </c>
      <c r="D15" s="58">
        <v>0.9</v>
      </c>
      <c r="E15" s="58">
        <v>0.9</v>
      </c>
      <c r="F15" s="58">
        <v>0.9</v>
      </c>
      <c r="G15" s="58">
        <v>0.9</v>
      </c>
      <c r="H15" s="119">
        <v>0.9</v>
      </c>
      <c r="I15" s="119">
        <v>0.9</v>
      </c>
      <c r="J15" s="119">
        <v>0.9</v>
      </c>
      <c r="K15" s="119">
        <v>0.9</v>
      </c>
      <c r="L15" s="119">
        <v>0.9</v>
      </c>
    </row>
    <row r="16" spans="1:12">
      <c r="A16" s="62" t="s">
        <v>21</v>
      </c>
      <c r="B16" s="120" t="s">
        <v>6</v>
      </c>
      <c r="C16" s="58">
        <v>1</v>
      </c>
      <c r="D16" s="58">
        <v>1</v>
      </c>
      <c r="E16" s="58">
        <v>1</v>
      </c>
      <c r="F16" s="58">
        <v>1</v>
      </c>
      <c r="G16" s="58">
        <v>1</v>
      </c>
      <c r="H16" s="119">
        <v>1</v>
      </c>
      <c r="I16" s="119">
        <v>0.94642857142857095</v>
      </c>
      <c r="J16" s="119">
        <v>0.97425742574257401</v>
      </c>
      <c r="K16" s="119">
        <v>0.94932432432432401</v>
      </c>
      <c r="L16" s="119">
        <v>0.94444444444444398</v>
      </c>
    </row>
    <row r="17" spans="1:12">
      <c r="A17" s="60" t="s">
        <v>22</v>
      </c>
      <c r="B17" s="120" t="s">
        <v>6</v>
      </c>
      <c r="C17" s="58">
        <v>1</v>
      </c>
      <c r="D17" s="58">
        <v>1</v>
      </c>
      <c r="E17" s="58">
        <v>1</v>
      </c>
      <c r="F17" s="58">
        <v>1</v>
      </c>
      <c r="G17" s="58">
        <v>1</v>
      </c>
      <c r="H17" s="119">
        <v>0.901685393258427</v>
      </c>
      <c r="I17" s="119">
        <v>0.92436974789916004</v>
      </c>
      <c r="J17" s="119">
        <v>0.92558139534883699</v>
      </c>
      <c r="K17" s="119">
        <v>0.9296875</v>
      </c>
      <c r="L17" s="119">
        <v>0.87916666666666698</v>
      </c>
    </row>
    <row r="18" spans="1:12">
      <c r="A18" s="60" t="s">
        <v>23</v>
      </c>
      <c r="B18" s="120" t="s">
        <v>6</v>
      </c>
      <c r="C18" s="58">
        <v>1</v>
      </c>
      <c r="D18" s="58">
        <v>1</v>
      </c>
      <c r="E18" s="58">
        <v>1</v>
      </c>
      <c r="F18" s="58">
        <v>1</v>
      </c>
      <c r="G18" s="58">
        <v>1</v>
      </c>
      <c r="H18" s="119">
        <v>0.88135593220339004</v>
      </c>
      <c r="I18" s="119">
        <v>0.93612334801762098</v>
      </c>
      <c r="J18" s="119">
        <v>0.93633952254641895</v>
      </c>
      <c r="K18" s="119">
        <v>0.93013100436681195</v>
      </c>
      <c r="L18" s="119">
        <v>0.94466403162055301</v>
      </c>
    </row>
    <row r="19" spans="1:12">
      <c r="A19" s="60" t="s">
        <v>24</v>
      </c>
      <c r="B19" s="58" t="s">
        <v>6</v>
      </c>
      <c r="C19" s="58">
        <v>1</v>
      </c>
      <c r="D19" s="58">
        <v>1</v>
      </c>
      <c r="E19" s="58">
        <v>1</v>
      </c>
      <c r="F19" s="58">
        <v>1</v>
      </c>
      <c r="G19" s="58">
        <v>1</v>
      </c>
      <c r="H19" s="119">
        <v>0.87991266375545796</v>
      </c>
      <c r="I19" s="119">
        <v>0.93714285714285706</v>
      </c>
      <c r="J19" s="119">
        <v>0.93493150684931503</v>
      </c>
      <c r="K19" s="119">
        <v>0.93220338983050799</v>
      </c>
      <c r="L19" s="119">
        <v>0.94871794871794901</v>
      </c>
    </row>
    <row r="20" spans="1:12">
      <c r="A20" s="60" t="s">
        <v>25</v>
      </c>
      <c r="B20" s="120" t="s">
        <v>6</v>
      </c>
      <c r="C20" s="58">
        <v>1</v>
      </c>
      <c r="D20" s="58">
        <v>1</v>
      </c>
      <c r="E20" s="58">
        <v>1</v>
      </c>
      <c r="F20" s="58">
        <v>1</v>
      </c>
      <c r="G20" s="58">
        <v>1</v>
      </c>
      <c r="H20" s="119">
        <v>0.87920792079207899</v>
      </c>
      <c r="I20" s="119">
        <v>0.93298969072164994</v>
      </c>
      <c r="J20" s="119">
        <v>0.93633540372670798</v>
      </c>
      <c r="K20" s="119">
        <v>0.930946291560102</v>
      </c>
      <c r="L20" s="119">
        <v>0.94444444444444398</v>
      </c>
    </row>
    <row r="21" spans="1:12">
      <c r="A21" s="60" t="s">
        <v>26</v>
      </c>
      <c r="B21" s="120" t="s">
        <v>6</v>
      </c>
      <c r="C21" s="58">
        <v>0.9</v>
      </c>
      <c r="D21" s="58">
        <v>0.9</v>
      </c>
      <c r="E21" s="58">
        <v>0.9</v>
      </c>
      <c r="F21" s="58">
        <v>0.9</v>
      </c>
      <c r="G21" s="58">
        <v>0.9</v>
      </c>
      <c r="H21" s="119">
        <v>0.9</v>
      </c>
      <c r="I21" s="119">
        <v>0.9</v>
      </c>
      <c r="J21" s="119">
        <v>0.9</v>
      </c>
      <c r="K21" s="119">
        <v>0.9</v>
      </c>
      <c r="L21" s="119">
        <v>0.9</v>
      </c>
    </row>
    <row r="22" spans="1:12">
      <c r="A22" s="60" t="s">
        <v>27</v>
      </c>
      <c r="B22" s="58" t="s">
        <v>6</v>
      </c>
      <c r="C22" s="58">
        <v>1</v>
      </c>
      <c r="D22" s="58">
        <v>1</v>
      </c>
      <c r="E22" s="58">
        <v>1</v>
      </c>
      <c r="F22" s="58">
        <v>1</v>
      </c>
      <c r="G22" s="58">
        <v>1</v>
      </c>
      <c r="H22" s="119">
        <v>0.98748261474269805</v>
      </c>
      <c r="I22" s="119">
        <v>0.86834733893557403</v>
      </c>
      <c r="J22" s="119">
        <v>0.98884758364312197</v>
      </c>
      <c r="K22" s="119">
        <v>0.95495495495495497</v>
      </c>
      <c r="L22" s="119">
        <v>0.95760598503740701</v>
      </c>
    </row>
    <row r="23" spans="1:12">
      <c r="A23" s="62" t="s">
        <v>28</v>
      </c>
      <c r="B23" s="120" t="s">
        <v>8</v>
      </c>
      <c r="C23" s="58">
        <v>1</v>
      </c>
      <c r="D23" s="58">
        <v>1</v>
      </c>
      <c r="E23" s="58">
        <v>1</v>
      </c>
      <c r="F23" s="58">
        <v>1</v>
      </c>
      <c r="G23" s="58">
        <v>1</v>
      </c>
      <c r="H23" s="119">
        <v>0.927927927927928</v>
      </c>
      <c r="I23" s="119">
        <v>0.82729805013927604</v>
      </c>
      <c r="J23" s="119">
        <v>0.88145896656534894</v>
      </c>
      <c r="K23" s="119">
        <v>0.89258312020460395</v>
      </c>
      <c r="L23" s="119">
        <v>0.88349514563106801</v>
      </c>
    </row>
    <row r="24" spans="1:12">
      <c r="A24" s="60" t="s">
        <v>29</v>
      </c>
      <c r="B24" s="120" t="s">
        <v>6</v>
      </c>
      <c r="C24" s="58">
        <v>1</v>
      </c>
      <c r="D24" s="58">
        <v>1</v>
      </c>
      <c r="E24" s="58">
        <v>1</v>
      </c>
      <c r="F24" s="58">
        <v>1</v>
      </c>
      <c r="G24" s="58">
        <v>1</v>
      </c>
      <c r="H24" s="119">
        <v>0.886075949367089</v>
      </c>
      <c r="I24" s="119">
        <v>0.91340782122904995</v>
      </c>
      <c r="J24" s="119">
        <v>0.93388429752066104</v>
      </c>
      <c r="K24" s="119">
        <v>0.91913746630727799</v>
      </c>
      <c r="L24" s="119">
        <v>0.95499999999999996</v>
      </c>
    </row>
    <row r="25" spans="1:12">
      <c r="A25" s="62" t="s">
        <v>30</v>
      </c>
      <c r="B25" s="120" t="s">
        <v>8</v>
      </c>
      <c r="C25" s="58">
        <v>1</v>
      </c>
      <c r="D25" s="58">
        <v>1</v>
      </c>
      <c r="E25" s="58">
        <v>1</v>
      </c>
      <c r="F25" s="58">
        <v>1</v>
      </c>
      <c r="G25" s="58">
        <v>1</v>
      </c>
      <c r="H25" s="119">
        <v>0.881287726358149</v>
      </c>
      <c r="I25" s="119">
        <v>0.94318181818181801</v>
      </c>
      <c r="J25" s="119">
        <v>0.93949044585987296</v>
      </c>
      <c r="K25" s="119">
        <v>0.93193717277486898</v>
      </c>
      <c r="L25" s="119">
        <v>0.91981132075471705</v>
      </c>
    </row>
    <row r="26" spans="1:12">
      <c r="A26" s="60" t="s">
        <v>31</v>
      </c>
      <c r="B26" s="58" t="s">
        <v>6</v>
      </c>
      <c r="C26" s="58">
        <v>1</v>
      </c>
      <c r="D26" s="58">
        <v>1</v>
      </c>
      <c r="E26" s="58">
        <v>1</v>
      </c>
      <c r="F26" s="58">
        <v>1</v>
      </c>
      <c r="G26" s="58">
        <v>1</v>
      </c>
      <c r="H26" s="119">
        <v>0.97538461538461496</v>
      </c>
      <c r="I26" s="119">
        <v>0.95145631067961201</v>
      </c>
      <c r="J26" s="119">
        <v>0.91964285714285698</v>
      </c>
      <c r="K26" s="119">
        <v>0.91074681238615696</v>
      </c>
      <c r="L26" s="119">
        <v>0.91954022988505801</v>
      </c>
    </row>
    <row r="27" spans="1:12">
      <c r="A27" s="60" t="s">
        <v>32</v>
      </c>
      <c r="B27" s="120" t="s">
        <v>6</v>
      </c>
      <c r="C27" s="58">
        <v>1</v>
      </c>
      <c r="D27" s="58">
        <v>1</v>
      </c>
      <c r="E27" s="58">
        <v>1</v>
      </c>
      <c r="F27" s="58">
        <v>1</v>
      </c>
      <c r="G27" s="58">
        <v>1</v>
      </c>
      <c r="H27" s="119">
        <v>0.94202898550724601</v>
      </c>
      <c r="I27" s="119">
        <v>0.96767241379310298</v>
      </c>
      <c r="J27" s="119">
        <v>0.91346153846153799</v>
      </c>
      <c r="K27" s="119">
        <v>0.90301003344481601</v>
      </c>
      <c r="L27" s="119">
        <v>0.91029900332225899</v>
      </c>
    </row>
    <row r="28" spans="1:12">
      <c r="A28" s="60" t="s">
        <v>33</v>
      </c>
      <c r="B28" s="58" t="s">
        <v>6</v>
      </c>
      <c r="C28" s="58">
        <v>1</v>
      </c>
      <c r="D28" s="58">
        <v>1</v>
      </c>
      <c r="E28" s="58">
        <v>1</v>
      </c>
      <c r="F28" s="58">
        <v>1</v>
      </c>
      <c r="G28" s="58">
        <v>1</v>
      </c>
      <c r="H28" s="119">
        <v>0.86776859504132198</v>
      </c>
      <c r="I28" s="119">
        <v>0.94199999999999995</v>
      </c>
      <c r="J28" s="119">
        <v>0.93081761006289299</v>
      </c>
      <c r="K28" s="119">
        <v>0.94166666666666698</v>
      </c>
      <c r="L28" s="119">
        <v>0.91360294117647101</v>
      </c>
    </row>
    <row r="29" spans="1:12">
      <c r="A29" s="60" t="s">
        <v>34</v>
      </c>
      <c r="B29" s="120" t="s">
        <v>6</v>
      </c>
      <c r="C29" s="58">
        <v>1</v>
      </c>
      <c r="D29" s="58">
        <v>1</v>
      </c>
      <c r="E29" s="58">
        <v>1</v>
      </c>
      <c r="F29" s="58">
        <v>1</v>
      </c>
      <c r="G29" s="58">
        <v>1</v>
      </c>
      <c r="H29" s="119">
        <v>0.87301587301587302</v>
      </c>
      <c r="I29" s="119">
        <v>0.93846153846153801</v>
      </c>
      <c r="J29" s="119">
        <v>0.94059405940594099</v>
      </c>
      <c r="K29" s="119">
        <v>0.94308943089430897</v>
      </c>
      <c r="L29" s="119">
        <v>0.93390804597701205</v>
      </c>
    </row>
    <row r="30" spans="1:12">
      <c r="A30" s="60" t="s">
        <v>35</v>
      </c>
      <c r="B30" s="58" t="s">
        <v>6</v>
      </c>
      <c r="C30" s="58">
        <v>1</v>
      </c>
      <c r="D30" s="58">
        <v>1</v>
      </c>
      <c r="E30" s="58">
        <v>1</v>
      </c>
      <c r="F30" s="58">
        <v>1</v>
      </c>
      <c r="G30" s="58">
        <v>1</v>
      </c>
      <c r="H30" s="119">
        <v>1</v>
      </c>
      <c r="I30" s="119">
        <v>1</v>
      </c>
      <c r="J30" s="119">
        <v>0.97979797979798</v>
      </c>
      <c r="K30" s="119">
        <v>0.97103448275862103</v>
      </c>
      <c r="L30" s="119">
        <v>0.96124031007751898</v>
      </c>
    </row>
  </sheetData>
  <sheetProtection algorithmName="SHA-512" hashValue="J2wsCkozeAaPtXD0nNgx4BrX1DasBeyLDWRg3N8yxP1T4gM1EUIutP/9QvHmk5OaOnroWkhYpeAdbF+l4dbA6A==" saltValue="stlDpDBg/D2wes9hdUmWUQ==" spinCount="100000" sheet="1" objects="1" scenarios="1"/>
  <autoFilter ref="A1:L30" xr:uid="{00000000-0009-0000-0000-000002000000}"/>
  <conditionalFormatting sqref="A2:A30">
    <cfRule type="expression" dxfId="0" priority="19">
      <formula>$A$2:$A$1264&lt;&gt;#REF!</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6"/>
  <sheetViews>
    <sheetView workbookViewId="0">
      <selection activeCell="E8" sqref="E8"/>
    </sheetView>
  </sheetViews>
  <sheetFormatPr defaultColWidth="12.3984375" defaultRowHeight="14.25"/>
  <cols>
    <col min="1" max="1" width="10.86328125" style="4" bestFit="1" customWidth="1"/>
    <col min="2" max="2" width="12.86328125" style="4" bestFit="1" customWidth="1"/>
    <col min="3" max="3" width="18.86328125" style="4" bestFit="1" customWidth="1"/>
    <col min="4" max="4" width="25.59765625" style="4" bestFit="1" customWidth="1"/>
    <col min="5" max="5" width="13.3984375" style="4" bestFit="1" customWidth="1"/>
    <col min="6" max="6" width="18.86328125" style="4" bestFit="1" customWidth="1"/>
    <col min="7" max="7" width="24.1328125" style="4" bestFit="1" customWidth="1"/>
    <col min="8" max="8" width="12" style="4" bestFit="1" customWidth="1"/>
    <col min="9" max="9" width="18.86328125" style="4" bestFit="1" customWidth="1"/>
    <col min="10" max="10" width="13.86328125" style="4" bestFit="1" customWidth="1"/>
    <col min="11" max="11" width="11.59765625" style="4" bestFit="1" customWidth="1"/>
    <col min="12" max="12" width="11.59765625" style="4" customWidth="1"/>
    <col min="13" max="13" width="13.73046875" style="4" bestFit="1" customWidth="1"/>
    <col min="14" max="14" width="11.59765625" style="4" bestFit="1" customWidth="1"/>
    <col min="15" max="15" width="11.59765625" style="4" customWidth="1"/>
    <col min="16" max="16" width="12.265625" style="4" bestFit="1" customWidth="1"/>
    <col min="17" max="17" width="9.1328125" style="4" bestFit="1" customWidth="1"/>
    <col min="18" max="18" width="9" style="4" bestFit="1" customWidth="1"/>
    <col min="19" max="16384" width="12.3984375" style="4"/>
  </cols>
  <sheetData>
    <row r="1" spans="1:18" ht="15" thickTop="1" thickBot="1">
      <c r="A1" s="95" t="s">
        <v>101</v>
      </c>
      <c r="B1" s="96"/>
      <c r="C1" s="97"/>
      <c r="D1" s="98" t="s">
        <v>102</v>
      </c>
      <c r="E1" s="99"/>
      <c r="F1" s="100"/>
      <c r="G1" s="101" t="s">
        <v>103</v>
      </c>
      <c r="H1" s="102"/>
      <c r="I1" s="103"/>
      <c r="J1" s="104" t="s">
        <v>104</v>
      </c>
      <c r="K1" s="105"/>
      <c r="L1" s="106"/>
      <c r="M1" s="107" t="s">
        <v>105</v>
      </c>
      <c r="N1" s="108"/>
      <c r="O1" s="109"/>
      <c r="P1" s="92" t="s">
        <v>106</v>
      </c>
      <c r="Q1" s="93"/>
      <c r="R1" s="94"/>
    </row>
    <row r="2" spans="1:18" ht="15" thickTop="1" thickBot="1">
      <c r="A2" s="39" t="s">
        <v>107</v>
      </c>
      <c r="B2" s="40">
        <f>B3*(B12/(B13*(1-B4)*((B5/B6)^3)*B7))</f>
        <v>1359344473.5814338</v>
      </c>
      <c r="C2" s="41"/>
      <c r="D2" s="42" t="s">
        <v>108</v>
      </c>
      <c r="E2" s="40">
        <f>d_Q_Cm*((d_T*d_AR)/(d_k_pp*((d_sL)^0.91)*((d_W)^1.02)*(1-(d_p/(4*365)))*d_VKT))</f>
        <v>1859332.5952230962</v>
      </c>
      <c r="F2" s="41"/>
      <c r="G2" s="42" t="s">
        <v>109</v>
      </c>
      <c r="H2" s="40">
        <f>s_Q_Cm*((s_T*s_AR)/(s_VKTm_st*s_k_pp*((s_sL)^0.91)*((s_W)^1.02)*(1-(s_p/(4*365)))))</f>
        <v>3357550.9780152217</v>
      </c>
      <c r="I2" s="41"/>
      <c r="J2" s="42" t="s">
        <v>110</v>
      </c>
      <c r="K2" s="40">
        <f>s_Q_Cm*((s_T*s_AR)/(s_VKTm_pp*s_k_pp*((ss_sL)^0.91)*((s_W)^1.02)*(1-(s_p/(4*365)))))</f>
        <v>63216227.033769563</v>
      </c>
      <c r="L2" s="41"/>
      <c r="M2" s="42" t="s">
        <v>111</v>
      </c>
      <c r="N2" s="40">
        <f>s_Q_Cm*((ss_T*s_AR)/((((s_k_up*((s_silt/12)^a_p)*((s_S_speed/30)^d__p))/((s_M_moisture/0.5)^c_p))-C_wear)*((365-s_p)/365)*(281.9/1)*s_VKT_up))</f>
        <v>372412.58543438581</v>
      </c>
      <c r="O2" s="41"/>
      <c r="P2" s="42" t="s">
        <v>112</v>
      </c>
      <c r="Q2" s="40">
        <f>s_Q_Cm*((ss_T*s_AR)/(s_k_ui*((s_silt/12)^a_i)*((s_W/3)^b_i)*((365-s_p)/365)*(281.9/1)*s_VKT_up))</f>
        <v>871083.21138988854</v>
      </c>
      <c r="R2" s="43"/>
    </row>
    <row r="3" spans="1:18" ht="14.65" thickTop="1">
      <c r="A3" s="44" t="s">
        <v>113</v>
      </c>
      <c r="B3" s="3">
        <f>d_Aw*EXP((((LN(d_Asw))-d_Bw)^2)/d_Cw)</f>
        <v>93.773582452087695</v>
      </c>
      <c r="C3" s="45" t="s">
        <v>456</v>
      </c>
      <c r="D3" s="46" t="s">
        <v>114</v>
      </c>
      <c r="E3" s="3">
        <f>d_A*EXP((((LN(d_As))-d_B)^2)/d_C)</f>
        <v>23.017850304789416</v>
      </c>
      <c r="F3" s="45" t="s">
        <v>456</v>
      </c>
      <c r="G3" s="47" t="s">
        <v>115</v>
      </c>
      <c r="H3" s="3">
        <f>s_A*EXP(((LN(s_As)-s_B)^2)/s_C)</f>
        <v>16.403103329458006</v>
      </c>
      <c r="I3" s="45" t="s">
        <v>456</v>
      </c>
      <c r="J3" s="48" t="s">
        <v>116</v>
      </c>
      <c r="K3" s="8">
        <f>total_vehic*km_trip*trip_day*wk_yr*day_wk*s_ED</f>
        <v>4068.2734774415417</v>
      </c>
      <c r="L3" s="49" t="s">
        <v>457</v>
      </c>
      <c r="M3" s="4" t="s">
        <v>117</v>
      </c>
      <c r="N3" s="8">
        <f>ss_ED*365*24*60*60</f>
        <v>31536000</v>
      </c>
      <c r="O3" s="4" t="s">
        <v>458</v>
      </c>
      <c r="P3" s="48" t="s">
        <v>118</v>
      </c>
      <c r="Q3" s="4">
        <v>5</v>
      </c>
      <c r="R3" s="49" t="s">
        <v>459</v>
      </c>
    </row>
    <row r="4" spans="1:18">
      <c r="A4" s="48" t="s">
        <v>119</v>
      </c>
      <c r="B4" s="4">
        <v>0.5</v>
      </c>
      <c r="C4" s="49" t="s">
        <v>453</v>
      </c>
      <c r="D4" s="48" t="s">
        <v>120</v>
      </c>
      <c r="E4" s="4">
        <v>0.5</v>
      </c>
      <c r="F4" s="49" t="s">
        <v>453</v>
      </c>
      <c r="G4" s="4" t="s">
        <v>121</v>
      </c>
      <c r="H4" s="4">
        <v>12.9351</v>
      </c>
      <c r="I4" s="49" t="s">
        <v>443</v>
      </c>
      <c r="J4" s="48" t="s">
        <v>122</v>
      </c>
      <c r="K4" s="4">
        <v>55</v>
      </c>
      <c r="L4" s="49" t="s">
        <v>460</v>
      </c>
      <c r="M4" s="4" t="s">
        <v>123</v>
      </c>
      <c r="N4" s="4">
        <v>0.05</v>
      </c>
      <c r="O4" s="4" t="s">
        <v>461</v>
      </c>
      <c r="P4" s="48" t="s">
        <v>272</v>
      </c>
      <c r="Q4" s="4">
        <v>0.5</v>
      </c>
      <c r="R4" s="49" t="s">
        <v>443</v>
      </c>
    </row>
    <row r="5" spans="1:18" ht="14.65" thickBot="1">
      <c r="A5" s="48" t="s">
        <v>124</v>
      </c>
      <c r="B5" s="4">
        <v>4.6900000000000004</v>
      </c>
      <c r="C5" s="49" t="s">
        <v>125</v>
      </c>
      <c r="D5" s="48" t="s">
        <v>126</v>
      </c>
      <c r="E5" s="4">
        <v>4.6900000000000004</v>
      </c>
      <c r="F5" s="49" t="s">
        <v>125</v>
      </c>
      <c r="G5" s="4" t="s">
        <v>127</v>
      </c>
      <c r="H5" s="4">
        <v>5</v>
      </c>
      <c r="I5" s="49" t="s">
        <v>462</v>
      </c>
      <c r="J5" s="48" t="s">
        <v>128</v>
      </c>
      <c r="K5" s="4">
        <v>5</v>
      </c>
      <c r="L5" s="49" t="s">
        <v>463</v>
      </c>
      <c r="M5" s="4" t="s">
        <v>129</v>
      </c>
      <c r="N5" s="4">
        <v>0.05</v>
      </c>
      <c r="O5" s="4" t="s">
        <v>461</v>
      </c>
      <c r="P5" s="50" t="s">
        <v>273</v>
      </c>
      <c r="Q5" s="51">
        <v>0.5</v>
      </c>
      <c r="R5" s="52" t="s">
        <v>443</v>
      </c>
    </row>
    <row r="6" spans="1:18" ht="14.65" thickTop="1">
      <c r="A6" s="48" t="s">
        <v>130</v>
      </c>
      <c r="B6" s="4">
        <v>11.32</v>
      </c>
      <c r="C6" s="49" t="s">
        <v>125</v>
      </c>
      <c r="D6" s="48" t="s">
        <v>131</v>
      </c>
      <c r="E6" s="4">
        <v>11.32</v>
      </c>
      <c r="F6" s="49" t="s">
        <v>125</v>
      </c>
      <c r="G6" s="4" t="s">
        <v>132</v>
      </c>
      <c r="H6" s="4">
        <v>5.7382999999999997</v>
      </c>
      <c r="I6" s="49" t="s">
        <v>443</v>
      </c>
      <c r="J6" s="48" t="s">
        <v>133</v>
      </c>
      <c r="K6" s="4">
        <v>55</v>
      </c>
      <c r="L6" s="49" t="s">
        <v>460</v>
      </c>
      <c r="M6" s="4" t="s">
        <v>134</v>
      </c>
      <c r="N6" s="4">
        <v>25</v>
      </c>
      <c r="O6" s="4" t="s">
        <v>135</v>
      </c>
      <c r="P6" s="48"/>
    </row>
    <row r="7" spans="1:18">
      <c r="A7" s="48" t="s">
        <v>136</v>
      </c>
      <c r="B7" s="4">
        <v>0.19400000000000001</v>
      </c>
      <c r="C7" s="49" t="s">
        <v>443</v>
      </c>
      <c r="D7" s="48" t="s">
        <v>137</v>
      </c>
      <c r="E7" s="4">
        <v>0.19400000000000001</v>
      </c>
      <c r="F7" s="49"/>
      <c r="G7" s="4" t="s">
        <v>138</v>
      </c>
      <c r="H7" s="4">
        <v>71.771100000000004</v>
      </c>
      <c r="I7" s="49" t="s">
        <v>443</v>
      </c>
      <c r="J7" s="4" t="s">
        <v>139</v>
      </c>
      <c r="K7" s="4">
        <v>5</v>
      </c>
      <c r="L7" s="49" t="s">
        <v>463</v>
      </c>
      <c r="M7" s="4" t="s">
        <v>140</v>
      </c>
      <c r="N7" s="4">
        <v>5</v>
      </c>
      <c r="O7" s="4" t="s">
        <v>459</v>
      </c>
      <c r="P7" s="48"/>
    </row>
    <row r="8" spans="1:18">
      <c r="A8" s="48" t="s">
        <v>141</v>
      </c>
      <c r="B8" s="4">
        <v>16.2302</v>
      </c>
      <c r="C8" s="49" t="s">
        <v>443</v>
      </c>
      <c r="D8" s="48" t="s">
        <v>142</v>
      </c>
      <c r="E8" s="4">
        <v>12.9351</v>
      </c>
      <c r="F8" s="49" t="s">
        <v>443</v>
      </c>
      <c r="G8" s="4" t="s">
        <v>152</v>
      </c>
      <c r="H8" s="8">
        <f>s_LR*s_WR*0.092903</f>
        <v>650.35448707868431</v>
      </c>
      <c r="I8" s="49" t="s">
        <v>464</v>
      </c>
      <c r="J8" s="4" t="s">
        <v>143</v>
      </c>
      <c r="K8" s="53">
        <f>number_cars+number_trucks</f>
        <v>110</v>
      </c>
      <c r="L8" s="49" t="s">
        <v>460</v>
      </c>
      <c r="M8" s="4" t="s">
        <v>144</v>
      </c>
      <c r="N8" s="8">
        <f>total_vehic*km_trip*trip_day*wk_yr*day_wk*ss_ED</f>
        <v>4068.2734774415417</v>
      </c>
      <c r="O8" s="4" t="s">
        <v>457</v>
      </c>
      <c r="P8" s="48"/>
    </row>
    <row r="9" spans="1:18">
      <c r="A9" s="48" t="s">
        <v>145</v>
      </c>
      <c r="B9" s="4">
        <v>0.5</v>
      </c>
      <c r="C9" s="49" t="s">
        <v>462</v>
      </c>
      <c r="D9" s="48" t="s">
        <v>146</v>
      </c>
      <c r="E9" s="4">
        <v>0.5</v>
      </c>
      <c r="F9" s="49" t="s">
        <v>462</v>
      </c>
      <c r="G9" s="48" t="s">
        <v>157</v>
      </c>
      <c r="H9" s="8">
        <f>SQRT(s_As*4046.86)*0.001*3280.84</f>
        <v>466.69069680468465</v>
      </c>
      <c r="I9" s="49" t="s">
        <v>465</v>
      </c>
      <c r="J9" s="4" t="s">
        <v>147</v>
      </c>
      <c r="K9" s="8">
        <f>LS</f>
        <v>0.14224732438606788</v>
      </c>
      <c r="L9" s="49" t="s">
        <v>466</v>
      </c>
      <c r="M9" s="48" t="s">
        <v>148</v>
      </c>
      <c r="N9" s="4">
        <v>5.5000000000000003E-4</v>
      </c>
      <c r="O9" s="49" t="s">
        <v>149</v>
      </c>
      <c r="P9" s="48"/>
    </row>
    <row r="10" spans="1:18">
      <c r="A10" s="48" t="s">
        <v>150</v>
      </c>
      <c r="B10" s="4">
        <v>18.776199999999999</v>
      </c>
      <c r="C10" s="49" t="s">
        <v>443</v>
      </c>
      <c r="D10" s="48" t="s">
        <v>151</v>
      </c>
      <c r="E10" s="4">
        <v>5.7382999999999997</v>
      </c>
      <c r="F10" s="49" t="s">
        <v>443</v>
      </c>
      <c r="G10" s="48" t="s">
        <v>161</v>
      </c>
      <c r="H10" s="4">
        <v>15</v>
      </c>
      <c r="I10" s="49" t="s">
        <v>465</v>
      </c>
      <c r="J10" s="4" t="s">
        <v>153</v>
      </c>
      <c r="K10" s="4">
        <v>2</v>
      </c>
      <c r="L10" s="49" t="s">
        <v>460</v>
      </c>
      <c r="M10" s="48" t="s">
        <v>154</v>
      </c>
      <c r="N10" s="8">
        <v>1</v>
      </c>
      <c r="O10" s="49" t="s">
        <v>42</v>
      </c>
      <c r="P10" s="48"/>
    </row>
    <row r="11" spans="1:18">
      <c r="A11" s="48" t="s">
        <v>155</v>
      </c>
      <c r="B11" s="4">
        <v>216.108</v>
      </c>
      <c r="C11" s="49" t="s">
        <v>443</v>
      </c>
      <c r="D11" s="48" t="s">
        <v>156</v>
      </c>
      <c r="E11" s="4">
        <v>71.771100000000004</v>
      </c>
      <c r="F11" s="49" t="s">
        <v>443</v>
      </c>
      <c r="G11" s="48" t="s">
        <v>164</v>
      </c>
      <c r="H11" s="8">
        <f>s_ED*365*24*60*60</f>
        <v>31536000</v>
      </c>
      <c r="I11" s="49" t="s">
        <v>458</v>
      </c>
      <c r="J11" s="4" t="s">
        <v>158</v>
      </c>
      <c r="K11" s="4">
        <v>26</v>
      </c>
      <c r="L11" s="49" t="s">
        <v>467</v>
      </c>
      <c r="M11" s="48" t="s">
        <v>159</v>
      </c>
      <c r="N11" s="4">
        <v>0.5</v>
      </c>
      <c r="O11" s="49" t="s">
        <v>443</v>
      </c>
    </row>
    <row r="12" spans="1:18">
      <c r="A12" s="48"/>
      <c r="B12" s="4">
        <v>3600</v>
      </c>
      <c r="C12" s="49" t="s">
        <v>160</v>
      </c>
      <c r="D12" s="48" t="s">
        <v>167</v>
      </c>
      <c r="E12" s="8">
        <f>d_LR*d_WR*0.092903</f>
        <v>274.11419061460487</v>
      </c>
      <c r="F12" s="49" t="s">
        <v>464</v>
      </c>
      <c r="G12" s="48" t="s">
        <v>168</v>
      </c>
      <c r="H12" s="4">
        <v>1.4999999999999999E-2</v>
      </c>
      <c r="I12" s="49" t="s">
        <v>468</v>
      </c>
      <c r="J12" s="4" t="s">
        <v>162</v>
      </c>
      <c r="K12" s="4">
        <v>5</v>
      </c>
      <c r="L12" s="49" t="s">
        <v>469</v>
      </c>
      <c r="M12" s="48" t="s">
        <v>163</v>
      </c>
      <c r="N12" s="4">
        <v>0.5</v>
      </c>
      <c r="O12" s="49" t="s">
        <v>443</v>
      </c>
    </row>
    <row r="13" spans="1:18" ht="14.65" thickBot="1">
      <c r="A13" s="50"/>
      <c r="B13" s="51">
        <v>3.5999999999999997E-2</v>
      </c>
      <c r="C13" s="52"/>
      <c r="D13" s="48" t="s">
        <v>170</v>
      </c>
      <c r="E13" s="8">
        <f>SQRT(d_As*4046)*0.001*3280</f>
        <v>147.52709310496155</v>
      </c>
      <c r="F13" s="49" t="s">
        <v>465</v>
      </c>
      <c r="G13" s="48" t="s">
        <v>171</v>
      </c>
      <c r="H13" s="4">
        <f>((K4*K5)+(K6*K7))/(K4+K6)</f>
        <v>5</v>
      </c>
      <c r="I13" s="49" t="s">
        <v>463</v>
      </c>
      <c r="J13" s="48" t="s">
        <v>321</v>
      </c>
      <c r="K13" s="4">
        <v>0.5</v>
      </c>
      <c r="L13" s="49" t="s">
        <v>468</v>
      </c>
      <c r="M13" s="50" t="s">
        <v>470</v>
      </c>
      <c r="N13" s="51">
        <v>0.25</v>
      </c>
      <c r="O13" s="52" t="s">
        <v>443</v>
      </c>
    </row>
    <row r="14" spans="1:18" ht="15" thickTop="1" thickBot="1">
      <c r="A14" s="39" t="s">
        <v>166</v>
      </c>
      <c r="B14" s="40">
        <f>s_Q_Cw*(3600/(0.036*(1-s_Vw)*((s_Umw/s_Utw)^3)*s_F_x_w))</f>
        <v>310266453.07805806</v>
      </c>
      <c r="C14" s="41"/>
      <c r="D14" s="48" t="s">
        <v>173</v>
      </c>
      <c r="E14" s="4">
        <v>20</v>
      </c>
      <c r="F14" s="49" t="s">
        <v>465</v>
      </c>
      <c r="G14" s="48" t="s">
        <v>174</v>
      </c>
      <c r="H14" s="4">
        <v>0.5</v>
      </c>
      <c r="I14" s="49" t="s">
        <v>471</v>
      </c>
      <c r="J14" s="50" t="s">
        <v>165</v>
      </c>
      <c r="K14" s="54">
        <f>s_LR*0.0003048</f>
        <v>0.14224732438606788</v>
      </c>
      <c r="L14" s="52" t="s">
        <v>466</v>
      </c>
    </row>
    <row r="15" spans="1:18" ht="14.65" thickTop="1">
      <c r="A15" s="44" t="s">
        <v>169</v>
      </c>
      <c r="B15" s="3">
        <f>s_Aw*EXP((((LN(s_Asw))-s_Bw)^2)/s_Cw)</f>
        <v>57.149400209416989</v>
      </c>
      <c r="C15" s="45" t="s">
        <v>456</v>
      </c>
      <c r="D15" s="48" t="s">
        <v>176</v>
      </c>
      <c r="E15" s="8">
        <f>d_ED*365*24*60*60</f>
        <v>31536000</v>
      </c>
      <c r="F15" s="49" t="s">
        <v>458</v>
      </c>
      <c r="G15" s="48" t="s">
        <v>177</v>
      </c>
      <c r="H15" s="4">
        <v>70</v>
      </c>
      <c r="I15" s="49" t="s">
        <v>469</v>
      </c>
    </row>
    <row r="16" spans="1:18">
      <c r="A16" s="48" t="s">
        <v>172</v>
      </c>
      <c r="B16" s="4">
        <v>0.25</v>
      </c>
      <c r="C16" s="49" t="s">
        <v>453</v>
      </c>
      <c r="D16" s="48" t="s">
        <v>179</v>
      </c>
      <c r="E16" s="4">
        <v>1.4999999999999999E-2</v>
      </c>
      <c r="F16" s="49" t="s">
        <v>468</v>
      </c>
      <c r="G16" s="48" t="s">
        <v>180</v>
      </c>
      <c r="H16" s="8">
        <f>((s_LS*s_AVK__TN_rural_interstate)/s_Km_TN_rural_interstate)*s_ED</f>
        <v>1862240.4436570473</v>
      </c>
      <c r="I16" s="49" t="s">
        <v>457</v>
      </c>
      <c r="J16" s="48"/>
    </row>
    <row r="17" spans="1:10">
      <c r="A17" s="48" t="s">
        <v>175</v>
      </c>
      <c r="B17" s="4">
        <v>5</v>
      </c>
      <c r="C17" s="49" t="s">
        <v>125</v>
      </c>
      <c r="D17" s="48" t="s">
        <v>182</v>
      </c>
      <c r="E17" s="4">
        <v>3.2</v>
      </c>
      <c r="F17" s="49" t="s">
        <v>463</v>
      </c>
      <c r="G17" s="48" t="s">
        <v>183</v>
      </c>
      <c r="H17" s="8">
        <f>s_LR*0.000304799</f>
        <v>0.1422468576953711</v>
      </c>
      <c r="I17" s="49" t="s">
        <v>466</v>
      </c>
      <c r="J17" s="48"/>
    </row>
    <row r="18" spans="1:10">
      <c r="A18" s="48" t="s">
        <v>178</v>
      </c>
      <c r="B18" s="4">
        <v>11.32</v>
      </c>
      <c r="C18" s="49" t="s">
        <v>125</v>
      </c>
      <c r="D18" s="48" t="s">
        <v>185</v>
      </c>
      <c r="E18" s="4">
        <v>0.62</v>
      </c>
      <c r="F18" s="49" t="s">
        <v>471</v>
      </c>
      <c r="G18" s="55" t="s">
        <v>186</v>
      </c>
      <c r="H18" s="7">
        <f>13576*1000000</f>
        <v>13576000000</v>
      </c>
      <c r="I18" s="49" t="s">
        <v>460</v>
      </c>
      <c r="J18" s="48"/>
    </row>
    <row r="19" spans="1:10">
      <c r="A19" s="48" t="s">
        <v>181</v>
      </c>
      <c r="B19" s="4">
        <v>0.28499999999999998</v>
      </c>
      <c r="C19" s="49" t="s">
        <v>443</v>
      </c>
      <c r="D19" s="48" t="s">
        <v>188</v>
      </c>
      <c r="E19" s="4">
        <v>150</v>
      </c>
      <c r="F19" s="49" t="s">
        <v>469</v>
      </c>
      <c r="G19" s="55" t="s">
        <v>189</v>
      </c>
      <c r="H19">
        <v>1037</v>
      </c>
      <c r="I19" s="49" t="s">
        <v>466</v>
      </c>
      <c r="J19" s="48"/>
    </row>
    <row r="20" spans="1:10" ht="14.65" thickBot="1">
      <c r="A20" s="48" t="s">
        <v>184</v>
      </c>
      <c r="B20" s="4">
        <v>15.025</v>
      </c>
      <c r="C20" s="49" t="s">
        <v>443</v>
      </c>
      <c r="D20" s="48" t="s">
        <v>191</v>
      </c>
      <c r="E20" s="8">
        <f>((d_LS*d_AVK__CA_urban_interstate)/d_Km__CA_urban_interstate)*d_ED</f>
        <v>2683117.2510727518</v>
      </c>
      <c r="F20" s="49" t="s">
        <v>457</v>
      </c>
      <c r="G20" s="48" t="s">
        <v>192</v>
      </c>
      <c r="H20" s="8">
        <v>1</v>
      </c>
      <c r="I20" s="52" t="s">
        <v>42</v>
      </c>
      <c r="J20" s="48"/>
    </row>
    <row r="21" spans="1:10" ht="14.65" thickTop="1">
      <c r="A21" s="48" t="s">
        <v>187</v>
      </c>
      <c r="B21" s="4">
        <v>5</v>
      </c>
      <c r="C21" s="49" t="s">
        <v>462</v>
      </c>
      <c r="D21" s="48" t="s">
        <v>194</v>
      </c>
      <c r="E21" s="8">
        <f>d_LR*0.000304799</f>
        <v>4.4966110451299182E-2</v>
      </c>
      <c r="F21" s="49" t="s">
        <v>466</v>
      </c>
      <c r="G21" s="56"/>
      <c r="H21" s="56"/>
      <c r="I21" s="56"/>
    </row>
    <row r="22" spans="1:10">
      <c r="A22" s="48" t="s">
        <v>190</v>
      </c>
      <c r="B22" s="4">
        <v>18.252600000000001</v>
      </c>
      <c r="C22" s="49" t="s">
        <v>443</v>
      </c>
      <c r="D22" s="55" t="s">
        <v>195</v>
      </c>
      <c r="E22" s="4">
        <f>121965*1000000</f>
        <v>121965000000</v>
      </c>
      <c r="F22" s="49" t="s">
        <v>460</v>
      </c>
    </row>
    <row r="23" spans="1:10">
      <c r="A23" s="48" t="s">
        <v>193</v>
      </c>
      <c r="B23" s="4">
        <v>207.33869999999999</v>
      </c>
      <c r="C23" s="49" t="s">
        <v>443</v>
      </c>
      <c r="D23" s="55" t="s">
        <v>196</v>
      </c>
      <c r="E23" s="4">
        <v>2044</v>
      </c>
      <c r="F23" s="49" t="s">
        <v>466</v>
      </c>
    </row>
    <row r="24" spans="1:10" ht="14.65" thickBot="1">
      <c r="A24" s="48"/>
      <c r="B24" s="4">
        <v>3600</v>
      </c>
      <c r="C24" s="49" t="s">
        <v>160</v>
      </c>
      <c r="D24" s="48" t="s">
        <v>197</v>
      </c>
      <c r="E24" s="8">
        <v>1</v>
      </c>
      <c r="F24" s="52" t="s">
        <v>42</v>
      </c>
    </row>
    <row r="25" spans="1:10" ht="15" thickTop="1" thickBot="1">
      <c r="A25" s="50"/>
      <c r="B25" s="51">
        <v>3.5999999999999997E-2</v>
      </c>
      <c r="C25" s="52"/>
      <c r="D25" s="56"/>
      <c r="E25" s="56"/>
      <c r="F25" s="56"/>
    </row>
    <row r="26" spans="1:10" ht="14.65" thickTop="1"/>
  </sheetData>
  <sheetProtection algorithmName="SHA-512" hashValue="ueAigehUo6MzWWMJ15LqdBbAKyEKs/qoiyU+HzUPWYApvsVEzX+LtTXEaLA8xOkvobijBy6AuunsN5hq1BRRHQ==" saltValue="HvoD35bnWdwobXGIgKkkDA==" spinCount="100000" sheet="1" objects="1" scenarios="1"/>
  <mergeCells count="6">
    <mergeCell ref="P1:R1"/>
    <mergeCell ref="A1:C1"/>
    <mergeCell ref="D1:F1"/>
    <mergeCell ref="G1:I1"/>
    <mergeCell ref="J1:L1"/>
    <mergeCell ref="M1:O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zoomScaleNormal="100" workbookViewId="0">
      <selection sqref="A1:C1"/>
    </sheetView>
  </sheetViews>
  <sheetFormatPr defaultRowHeight="14.25"/>
  <cols>
    <col min="1" max="1" width="9.3984375" style="4" bestFit="1" customWidth="1"/>
    <col min="2" max="2" width="8.59765625" style="4" bestFit="1" customWidth="1"/>
    <col min="3" max="3" width="11" style="4" bestFit="1" customWidth="1"/>
    <col min="4" max="4" width="12.1328125" style="4" bestFit="1" customWidth="1"/>
    <col min="5" max="5" width="12" style="4" bestFit="1" customWidth="1"/>
    <col min="6" max="6" width="11.1328125" style="4" bestFit="1" customWidth="1"/>
    <col min="7" max="7" width="8.1328125" style="4" bestFit="1" customWidth="1"/>
    <col min="8" max="8" width="8.3984375" style="4" customWidth="1"/>
    <col min="9" max="9" width="11.1328125" style="4" bestFit="1" customWidth="1"/>
    <col min="10" max="10" width="9.265625" style="4" bestFit="1" customWidth="1"/>
    <col min="11" max="11" width="7.86328125" style="4" customWidth="1"/>
    <col min="12" max="12" width="11.1328125" style="4" bestFit="1" customWidth="1"/>
    <col min="13" max="13" width="8.73046875" style="4" bestFit="1" customWidth="1"/>
    <col min="14" max="14" width="7.86328125" style="4" customWidth="1"/>
    <col min="15" max="15" width="11.1328125" style="4" bestFit="1" customWidth="1"/>
    <col min="16" max="256" width="9.1328125" style="4"/>
    <col min="257" max="257" width="9.3984375" style="4" bestFit="1" customWidth="1"/>
    <col min="258" max="258" width="10" style="4" bestFit="1" customWidth="1"/>
    <col min="259" max="259" width="9.1328125" style="4"/>
    <col min="260" max="260" width="12.1328125" style="4" bestFit="1" customWidth="1"/>
    <col min="261" max="261" width="9.59765625" style="4" customWidth="1"/>
    <col min="262" max="262" width="11.1328125" style="4" bestFit="1" customWidth="1"/>
    <col min="263" max="263" width="8.1328125" style="4" bestFit="1" customWidth="1"/>
    <col min="264" max="264" width="8" style="4" customWidth="1"/>
    <col min="265" max="265" width="11.1328125" style="4" bestFit="1" customWidth="1"/>
    <col min="266" max="266" width="9.265625" style="4" bestFit="1" customWidth="1"/>
    <col min="267" max="267" width="7.265625" style="4" customWidth="1"/>
    <col min="268" max="268" width="11.1328125" style="4" bestFit="1" customWidth="1"/>
    <col min="269" max="269" width="8.73046875" style="4" customWidth="1"/>
    <col min="270" max="270" width="9" style="4" customWidth="1"/>
    <col min="271" max="271" width="11.1328125" style="4" bestFit="1" customWidth="1"/>
    <col min="272" max="512" width="9.1328125" style="4"/>
    <col min="513" max="513" width="9.3984375" style="4" bestFit="1" customWidth="1"/>
    <col min="514" max="514" width="10" style="4" bestFit="1" customWidth="1"/>
    <col min="515" max="515" width="9.1328125" style="4"/>
    <col min="516" max="516" width="12.1328125" style="4" bestFit="1" customWidth="1"/>
    <col min="517" max="517" width="9.59765625" style="4" customWidth="1"/>
    <col min="518" max="518" width="11.1328125" style="4" bestFit="1" customWidth="1"/>
    <col min="519" max="519" width="8.1328125" style="4" bestFit="1" customWidth="1"/>
    <col min="520" max="520" width="8" style="4" customWidth="1"/>
    <col min="521" max="521" width="11.1328125" style="4" bestFit="1" customWidth="1"/>
    <col min="522" max="522" width="9.265625" style="4" bestFit="1" customWidth="1"/>
    <col min="523" max="523" width="7.265625" style="4" customWidth="1"/>
    <col min="524" max="524" width="11.1328125" style="4" bestFit="1" customWidth="1"/>
    <col min="525" max="525" width="8.73046875" style="4" customWidth="1"/>
    <col min="526" max="526" width="9" style="4" customWidth="1"/>
    <col min="527" max="527" width="11.1328125" style="4" bestFit="1" customWidth="1"/>
    <col min="528" max="768" width="9.1328125" style="4"/>
    <col min="769" max="769" width="9.3984375" style="4" bestFit="1" customWidth="1"/>
    <col min="770" max="770" width="10" style="4" bestFit="1" customWidth="1"/>
    <col min="771" max="771" width="9.1328125" style="4"/>
    <col min="772" max="772" width="12.1328125" style="4" bestFit="1" customWidth="1"/>
    <col min="773" max="773" width="9.59765625" style="4" customWidth="1"/>
    <col min="774" max="774" width="11.1328125" style="4" bestFit="1" customWidth="1"/>
    <col min="775" max="775" width="8.1328125" style="4" bestFit="1" customWidth="1"/>
    <col min="776" max="776" width="8" style="4" customWidth="1"/>
    <col min="777" max="777" width="11.1328125" style="4" bestFit="1" customWidth="1"/>
    <col min="778" max="778" width="9.265625" style="4" bestFit="1" customWidth="1"/>
    <col min="779" max="779" width="7.265625" style="4" customWidth="1"/>
    <col min="780" max="780" width="11.1328125" style="4" bestFit="1" customWidth="1"/>
    <col min="781" max="781" width="8.73046875" style="4" customWidth="1"/>
    <col min="782" max="782" width="9" style="4" customWidth="1"/>
    <col min="783" max="783" width="11.1328125" style="4" bestFit="1" customWidth="1"/>
    <col min="784" max="1024" width="9.1328125" style="4"/>
    <col min="1025" max="1025" width="9.3984375" style="4" bestFit="1" customWidth="1"/>
    <col min="1026" max="1026" width="10" style="4" bestFit="1" customWidth="1"/>
    <col min="1027" max="1027" width="9.1328125" style="4"/>
    <col min="1028" max="1028" width="12.1328125" style="4" bestFit="1" customWidth="1"/>
    <col min="1029" max="1029" width="9.59765625" style="4" customWidth="1"/>
    <col min="1030" max="1030" width="11.1328125" style="4" bestFit="1" customWidth="1"/>
    <col min="1031" max="1031" width="8.1328125" style="4" bestFit="1" customWidth="1"/>
    <col min="1032" max="1032" width="8" style="4" customWidth="1"/>
    <col min="1033" max="1033" width="11.1328125" style="4" bestFit="1" customWidth="1"/>
    <col min="1034" max="1034" width="9.265625" style="4" bestFit="1" customWidth="1"/>
    <col min="1035" max="1035" width="7.265625" style="4" customWidth="1"/>
    <col min="1036" max="1036" width="11.1328125" style="4" bestFit="1" customWidth="1"/>
    <col min="1037" max="1037" width="8.73046875" style="4" customWidth="1"/>
    <col min="1038" max="1038" width="9" style="4" customWidth="1"/>
    <col min="1039" max="1039" width="11.1328125" style="4" bestFit="1" customWidth="1"/>
    <col min="1040" max="1280" width="9.1328125" style="4"/>
    <col min="1281" max="1281" width="9.3984375" style="4" bestFit="1" customWidth="1"/>
    <col min="1282" max="1282" width="10" style="4" bestFit="1" customWidth="1"/>
    <col min="1283" max="1283" width="9.1328125" style="4"/>
    <col min="1284" max="1284" width="12.1328125" style="4" bestFit="1" customWidth="1"/>
    <col min="1285" max="1285" width="9.59765625" style="4" customWidth="1"/>
    <col min="1286" max="1286" width="11.1328125" style="4" bestFit="1" customWidth="1"/>
    <col min="1287" max="1287" width="8.1328125" style="4" bestFit="1" customWidth="1"/>
    <col min="1288" max="1288" width="8" style="4" customWidth="1"/>
    <col min="1289" max="1289" width="11.1328125" style="4" bestFit="1" customWidth="1"/>
    <col min="1290" max="1290" width="9.265625" style="4" bestFit="1" customWidth="1"/>
    <col min="1291" max="1291" width="7.265625" style="4" customWidth="1"/>
    <col min="1292" max="1292" width="11.1328125" style="4" bestFit="1" customWidth="1"/>
    <col min="1293" max="1293" width="8.73046875" style="4" customWidth="1"/>
    <col min="1294" max="1294" width="9" style="4" customWidth="1"/>
    <col min="1295" max="1295" width="11.1328125" style="4" bestFit="1" customWidth="1"/>
    <col min="1296" max="1536" width="9.1328125" style="4"/>
    <col min="1537" max="1537" width="9.3984375" style="4" bestFit="1" customWidth="1"/>
    <col min="1538" max="1538" width="10" style="4" bestFit="1" customWidth="1"/>
    <col min="1539" max="1539" width="9.1328125" style="4"/>
    <col min="1540" max="1540" width="12.1328125" style="4" bestFit="1" customWidth="1"/>
    <col min="1541" max="1541" width="9.59765625" style="4" customWidth="1"/>
    <col min="1542" max="1542" width="11.1328125" style="4" bestFit="1" customWidth="1"/>
    <col min="1543" max="1543" width="8.1328125" style="4" bestFit="1" customWidth="1"/>
    <col min="1544" max="1544" width="8" style="4" customWidth="1"/>
    <col min="1545" max="1545" width="11.1328125" style="4" bestFit="1" customWidth="1"/>
    <col min="1546" max="1546" width="9.265625" style="4" bestFit="1" customWidth="1"/>
    <col min="1547" max="1547" width="7.265625" style="4" customWidth="1"/>
    <col min="1548" max="1548" width="11.1328125" style="4" bestFit="1" customWidth="1"/>
    <col min="1549" max="1549" width="8.73046875" style="4" customWidth="1"/>
    <col min="1550" max="1550" width="9" style="4" customWidth="1"/>
    <col min="1551" max="1551" width="11.1328125" style="4" bestFit="1" customWidth="1"/>
    <col min="1552" max="1792" width="9.1328125" style="4"/>
    <col min="1793" max="1793" width="9.3984375" style="4" bestFit="1" customWidth="1"/>
    <col min="1794" max="1794" width="10" style="4" bestFit="1" customWidth="1"/>
    <col min="1795" max="1795" width="9.1328125" style="4"/>
    <col min="1796" max="1796" width="12.1328125" style="4" bestFit="1" customWidth="1"/>
    <col min="1797" max="1797" width="9.59765625" style="4" customWidth="1"/>
    <col min="1798" max="1798" width="11.1328125" style="4" bestFit="1" customWidth="1"/>
    <col min="1799" max="1799" width="8.1328125" style="4" bestFit="1" customWidth="1"/>
    <col min="1800" max="1800" width="8" style="4" customWidth="1"/>
    <col min="1801" max="1801" width="11.1328125" style="4" bestFit="1" customWidth="1"/>
    <col min="1802" max="1802" width="9.265625" style="4" bestFit="1" customWidth="1"/>
    <col min="1803" max="1803" width="7.265625" style="4" customWidth="1"/>
    <col min="1804" max="1804" width="11.1328125" style="4" bestFit="1" customWidth="1"/>
    <col min="1805" max="1805" width="8.73046875" style="4" customWidth="1"/>
    <col min="1806" max="1806" width="9" style="4" customWidth="1"/>
    <col min="1807" max="1807" width="11.1328125" style="4" bestFit="1" customWidth="1"/>
    <col min="1808" max="2048" width="9.1328125" style="4"/>
    <col min="2049" max="2049" width="9.3984375" style="4" bestFit="1" customWidth="1"/>
    <col min="2050" max="2050" width="10" style="4" bestFit="1" customWidth="1"/>
    <col min="2051" max="2051" width="9.1328125" style="4"/>
    <col min="2052" max="2052" width="12.1328125" style="4" bestFit="1" customWidth="1"/>
    <col min="2053" max="2053" width="9.59765625" style="4" customWidth="1"/>
    <col min="2054" max="2054" width="11.1328125" style="4" bestFit="1" customWidth="1"/>
    <col min="2055" max="2055" width="8.1328125" style="4" bestFit="1" customWidth="1"/>
    <col min="2056" max="2056" width="8" style="4" customWidth="1"/>
    <col min="2057" max="2057" width="11.1328125" style="4" bestFit="1" customWidth="1"/>
    <col min="2058" max="2058" width="9.265625" style="4" bestFit="1" customWidth="1"/>
    <col min="2059" max="2059" width="7.265625" style="4" customWidth="1"/>
    <col min="2060" max="2060" width="11.1328125" style="4" bestFit="1" customWidth="1"/>
    <col min="2061" max="2061" width="8.73046875" style="4" customWidth="1"/>
    <col min="2062" max="2062" width="9" style="4" customWidth="1"/>
    <col min="2063" max="2063" width="11.1328125" style="4" bestFit="1" customWidth="1"/>
    <col min="2064" max="2304" width="9.1328125" style="4"/>
    <col min="2305" max="2305" width="9.3984375" style="4" bestFit="1" customWidth="1"/>
    <col min="2306" max="2306" width="10" style="4" bestFit="1" customWidth="1"/>
    <col min="2307" max="2307" width="9.1328125" style="4"/>
    <col min="2308" max="2308" width="12.1328125" style="4" bestFit="1" customWidth="1"/>
    <col min="2309" max="2309" width="9.59765625" style="4" customWidth="1"/>
    <col min="2310" max="2310" width="11.1328125" style="4" bestFit="1" customWidth="1"/>
    <col min="2311" max="2311" width="8.1328125" style="4" bestFit="1" customWidth="1"/>
    <col min="2312" max="2312" width="8" style="4" customWidth="1"/>
    <col min="2313" max="2313" width="11.1328125" style="4" bestFit="1" customWidth="1"/>
    <col min="2314" max="2314" width="9.265625" style="4" bestFit="1" customWidth="1"/>
    <col min="2315" max="2315" width="7.265625" style="4" customWidth="1"/>
    <col min="2316" max="2316" width="11.1328125" style="4" bestFit="1" customWidth="1"/>
    <col min="2317" max="2317" width="8.73046875" style="4" customWidth="1"/>
    <col min="2318" max="2318" width="9" style="4" customWidth="1"/>
    <col min="2319" max="2319" width="11.1328125" style="4" bestFit="1" customWidth="1"/>
    <col min="2320" max="2560" width="9.1328125" style="4"/>
    <col min="2561" max="2561" width="9.3984375" style="4" bestFit="1" customWidth="1"/>
    <col min="2562" max="2562" width="10" style="4" bestFit="1" customWidth="1"/>
    <col min="2563" max="2563" width="9.1328125" style="4"/>
    <col min="2564" max="2564" width="12.1328125" style="4" bestFit="1" customWidth="1"/>
    <col min="2565" max="2565" width="9.59765625" style="4" customWidth="1"/>
    <col min="2566" max="2566" width="11.1328125" style="4" bestFit="1" customWidth="1"/>
    <col min="2567" max="2567" width="8.1328125" style="4" bestFit="1" customWidth="1"/>
    <col min="2568" max="2568" width="8" style="4" customWidth="1"/>
    <col min="2569" max="2569" width="11.1328125" style="4" bestFit="1" customWidth="1"/>
    <col min="2570" max="2570" width="9.265625" style="4" bestFit="1" customWidth="1"/>
    <col min="2571" max="2571" width="7.265625" style="4" customWidth="1"/>
    <col min="2572" max="2572" width="11.1328125" style="4" bestFit="1" customWidth="1"/>
    <col min="2573" max="2573" width="8.73046875" style="4" customWidth="1"/>
    <col min="2574" max="2574" width="9" style="4" customWidth="1"/>
    <col min="2575" max="2575" width="11.1328125" style="4" bestFit="1" customWidth="1"/>
    <col min="2576" max="2816" width="9.1328125" style="4"/>
    <col min="2817" max="2817" width="9.3984375" style="4" bestFit="1" customWidth="1"/>
    <col min="2818" max="2818" width="10" style="4" bestFit="1" customWidth="1"/>
    <col min="2819" max="2819" width="9.1328125" style="4"/>
    <col min="2820" max="2820" width="12.1328125" style="4" bestFit="1" customWidth="1"/>
    <col min="2821" max="2821" width="9.59765625" style="4" customWidth="1"/>
    <col min="2822" max="2822" width="11.1328125" style="4" bestFit="1" customWidth="1"/>
    <col min="2823" max="2823" width="8.1328125" style="4" bestFit="1" customWidth="1"/>
    <col min="2824" max="2824" width="8" style="4" customWidth="1"/>
    <col min="2825" max="2825" width="11.1328125" style="4" bestFit="1" customWidth="1"/>
    <col min="2826" max="2826" width="9.265625" style="4" bestFit="1" customWidth="1"/>
    <col min="2827" max="2827" width="7.265625" style="4" customWidth="1"/>
    <col min="2828" max="2828" width="11.1328125" style="4" bestFit="1" customWidth="1"/>
    <col min="2829" max="2829" width="8.73046875" style="4" customWidth="1"/>
    <col min="2830" max="2830" width="9" style="4" customWidth="1"/>
    <col min="2831" max="2831" width="11.1328125" style="4" bestFit="1" customWidth="1"/>
    <col min="2832" max="3072" width="9.1328125" style="4"/>
    <col min="3073" max="3073" width="9.3984375" style="4" bestFit="1" customWidth="1"/>
    <col min="3074" max="3074" width="10" style="4" bestFit="1" customWidth="1"/>
    <col min="3075" max="3075" width="9.1328125" style="4"/>
    <col min="3076" max="3076" width="12.1328125" style="4" bestFit="1" customWidth="1"/>
    <col min="3077" max="3077" width="9.59765625" style="4" customWidth="1"/>
    <col min="3078" max="3078" width="11.1328125" style="4" bestFit="1" customWidth="1"/>
    <col min="3079" max="3079" width="8.1328125" style="4" bestFit="1" customWidth="1"/>
    <col min="3080" max="3080" width="8" style="4" customWidth="1"/>
    <col min="3081" max="3081" width="11.1328125" style="4" bestFit="1" customWidth="1"/>
    <col min="3082" max="3082" width="9.265625" style="4" bestFit="1" customWidth="1"/>
    <col min="3083" max="3083" width="7.265625" style="4" customWidth="1"/>
    <col min="3084" max="3084" width="11.1328125" style="4" bestFit="1" customWidth="1"/>
    <col min="3085" max="3085" width="8.73046875" style="4" customWidth="1"/>
    <col min="3086" max="3086" width="9" style="4" customWidth="1"/>
    <col min="3087" max="3087" width="11.1328125" style="4" bestFit="1" customWidth="1"/>
    <col min="3088" max="3328" width="9.1328125" style="4"/>
    <col min="3329" max="3329" width="9.3984375" style="4" bestFit="1" customWidth="1"/>
    <col min="3330" max="3330" width="10" style="4" bestFit="1" customWidth="1"/>
    <col min="3331" max="3331" width="9.1328125" style="4"/>
    <col min="3332" max="3332" width="12.1328125" style="4" bestFit="1" customWidth="1"/>
    <col min="3333" max="3333" width="9.59765625" style="4" customWidth="1"/>
    <col min="3334" max="3334" width="11.1328125" style="4" bestFit="1" customWidth="1"/>
    <col min="3335" max="3335" width="8.1328125" style="4" bestFit="1" customWidth="1"/>
    <col min="3336" max="3336" width="8" style="4" customWidth="1"/>
    <col min="3337" max="3337" width="11.1328125" style="4" bestFit="1" customWidth="1"/>
    <col min="3338" max="3338" width="9.265625" style="4" bestFit="1" customWidth="1"/>
    <col min="3339" max="3339" width="7.265625" style="4" customWidth="1"/>
    <col min="3340" max="3340" width="11.1328125" style="4" bestFit="1" customWidth="1"/>
    <col min="3341" max="3341" width="8.73046875" style="4" customWidth="1"/>
    <col min="3342" max="3342" width="9" style="4" customWidth="1"/>
    <col min="3343" max="3343" width="11.1328125" style="4" bestFit="1" customWidth="1"/>
    <col min="3344" max="3584" width="9.1328125" style="4"/>
    <col min="3585" max="3585" width="9.3984375" style="4" bestFit="1" customWidth="1"/>
    <col min="3586" max="3586" width="10" style="4" bestFit="1" customWidth="1"/>
    <col min="3587" max="3587" width="9.1328125" style="4"/>
    <col min="3588" max="3588" width="12.1328125" style="4" bestFit="1" customWidth="1"/>
    <col min="3589" max="3589" width="9.59765625" style="4" customWidth="1"/>
    <col min="3590" max="3590" width="11.1328125" style="4" bestFit="1" customWidth="1"/>
    <col min="3591" max="3591" width="8.1328125" style="4" bestFit="1" customWidth="1"/>
    <col min="3592" max="3592" width="8" style="4" customWidth="1"/>
    <col min="3593" max="3593" width="11.1328125" style="4" bestFit="1" customWidth="1"/>
    <col min="3594" max="3594" width="9.265625" style="4" bestFit="1" customWidth="1"/>
    <col min="3595" max="3595" width="7.265625" style="4" customWidth="1"/>
    <col min="3596" max="3596" width="11.1328125" style="4" bestFit="1" customWidth="1"/>
    <col min="3597" max="3597" width="8.73046875" style="4" customWidth="1"/>
    <col min="3598" max="3598" width="9" style="4" customWidth="1"/>
    <col min="3599" max="3599" width="11.1328125" style="4" bestFit="1" customWidth="1"/>
    <col min="3600" max="3840" width="9.1328125" style="4"/>
    <col min="3841" max="3841" width="9.3984375" style="4" bestFit="1" customWidth="1"/>
    <col min="3842" max="3842" width="10" style="4" bestFit="1" customWidth="1"/>
    <col min="3843" max="3843" width="9.1328125" style="4"/>
    <col min="3844" max="3844" width="12.1328125" style="4" bestFit="1" customWidth="1"/>
    <col min="3845" max="3845" width="9.59765625" style="4" customWidth="1"/>
    <col min="3846" max="3846" width="11.1328125" style="4" bestFit="1" customWidth="1"/>
    <col min="3847" max="3847" width="8.1328125" style="4" bestFit="1" customWidth="1"/>
    <col min="3848" max="3848" width="8" style="4" customWidth="1"/>
    <col min="3849" max="3849" width="11.1328125" style="4" bestFit="1" customWidth="1"/>
    <col min="3850" max="3850" width="9.265625" style="4" bestFit="1" customWidth="1"/>
    <col min="3851" max="3851" width="7.265625" style="4" customWidth="1"/>
    <col min="3852" max="3852" width="11.1328125" style="4" bestFit="1" customWidth="1"/>
    <col min="3853" max="3853" width="8.73046875" style="4" customWidth="1"/>
    <col min="3854" max="3854" width="9" style="4" customWidth="1"/>
    <col min="3855" max="3855" width="11.1328125" style="4" bestFit="1" customWidth="1"/>
    <col min="3856" max="4096" width="9.1328125" style="4"/>
    <col min="4097" max="4097" width="9.3984375" style="4" bestFit="1" customWidth="1"/>
    <col min="4098" max="4098" width="10" style="4" bestFit="1" customWidth="1"/>
    <col min="4099" max="4099" width="9.1328125" style="4"/>
    <col min="4100" max="4100" width="12.1328125" style="4" bestFit="1" customWidth="1"/>
    <col min="4101" max="4101" width="9.59765625" style="4" customWidth="1"/>
    <col min="4102" max="4102" width="11.1328125" style="4" bestFit="1" customWidth="1"/>
    <col min="4103" max="4103" width="8.1328125" style="4" bestFit="1" customWidth="1"/>
    <col min="4104" max="4104" width="8" style="4" customWidth="1"/>
    <col min="4105" max="4105" width="11.1328125" style="4" bestFit="1" customWidth="1"/>
    <col min="4106" max="4106" width="9.265625" style="4" bestFit="1" customWidth="1"/>
    <col min="4107" max="4107" width="7.265625" style="4" customWidth="1"/>
    <col min="4108" max="4108" width="11.1328125" style="4" bestFit="1" customWidth="1"/>
    <col min="4109" max="4109" width="8.73046875" style="4" customWidth="1"/>
    <col min="4110" max="4110" width="9" style="4" customWidth="1"/>
    <col min="4111" max="4111" width="11.1328125" style="4" bestFit="1" customWidth="1"/>
    <col min="4112" max="4352" width="9.1328125" style="4"/>
    <col min="4353" max="4353" width="9.3984375" style="4" bestFit="1" customWidth="1"/>
    <col min="4354" max="4354" width="10" style="4" bestFit="1" customWidth="1"/>
    <col min="4355" max="4355" width="9.1328125" style="4"/>
    <col min="4356" max="4356" width="12.1328125" style="4" bestFit="1" customWidth="1"/>
    <col min="4357" max="4357" width="9.59765625" style="4" customWidth="1"/>
    <col min="4358" max="4358" width="11.1328125" style="4" bestFit="1" customWidth="1"/>
    <col min="4359" max="4359" width="8.1328125" style="4" bestFit="1" customWidth="1"/>
    <col min="4360" max="4360" width="8" style="4" customWidth="1"/>
    <col min="4361" max="4361" width="11.1328125" style="4" bestFit="1" customWidth="1"/>
    <col min="4362" max="4362" width="9.265625" style="4" bestFit="1" customWidth="1"/>
    <col min="4363" max="4363" width="7.265625" style="4" customWidth="1"/>
    <col min="4364" max="4364" width="11.1328125" style="4" bestFit="1" customWidth="1"/>
    <col min="4365" max="4365" width="8.73046875" style="4" customWidth="1"/>
    <col min="4366" max="4366" width="9" style="4" customWidth="1"/>
    <col min="4367" max="4367" width="11.1328125" style="4" bestFit="1" customWidth="1"/>
    <col min="4368" max="4608" width="9.1328125" style="4"/>
    <col min="4609" max="4609" width="9.3984375" style="4" bestFit="1" customWidth="1"/>
    <col min="4610" max="4610" width="10" style="4" bestFit="1" customWidth="1"/>
    <col min="4611" max="4611" width="9.1328125" style="4"/>
    <col min="4612" max="4612" width="12.1328125" style="4" bestFit="1" customWidth="1"/>
    <col min="4613" max="4613" width="9.59765625" style="4" customWidth="1"/>
    <col min="4614" max="4614" width="11.1328125" style="4" bestFit="1" customWidth="1"/>
    <col min="4615" max="4615" width="8.1328125" style="4" bestFit="1" customWidth="1"/>
    <col min="4616" max="4616" width="8" style="4" customWidth="1"/>
    <col min="4617" max="4617" width="11.1328125" style="4" bestFit="1" customWidth="1"/>
    <col min="4618" max="4618" width="9.265625" style="4" bestFit="1" customWidth="1"/>
    <col min="4619" max="4619" width="7.265625" style="4" customWidth="1"/>
    <col min="4620" max="4620" width="11.1328125" style="4" bestFit="1" customWidth="1"/>
    <col min="4621" max="4621" width="8.73046875" style="4" customWidth="1"/>
    <col min="4622" max="4622" width="9" style="4" customWidth="1"/>
    <col min="4623" max="4623" width="11.1328125" style="4" bestFit="1" customWidth="1"/>
    <col min="4624" max="4864" width="9.1328125" style="4"/>
    <col min="4865" max="4865" width="9.3984375" style="4" bestFit="1" customWidth="1"/>
    <col min="4866" max="4866" width="10" style="4" bestFit="1" customWidth="1"/>
    <col min="4867" max="4867" width="9.1328125" style="4"/>
    <col min="4868" max="4868" width="12.1328125" style="4" bestFit="1" customWidth="1"/>
    <col min="4869" max="4869" width="9.59765625" style="4" customWidth="1"/>
    <col min="4870" max="4870" width="11.1328125" style="4" bestFit="1" customWidth="1"/>
    <col min="4871" max="4871" width="8.1328125" style="4" bestFit="1" customWidth="1"/>
    <col min="4872" max="4872" width="8" style="4" customWidth="1"/>
    <col min="4873" max="4873" width="11.1328125" style="4" bestFit="1" customWidth="1"/>
    <col min="4874" max="4874" width="9.265625" style="4" bestFit="1" customWidth="1"/>
    <col min="4875" max="4875" width="7.265625" style="4" customWidth="1"/>
    <col min="4876" max="4876" width="11.1328125" style="4" bestFit="1" customWidth="1"/>
    <col min="4877" max="4877" width="8.73046875" style="4" customWidth="1"/>
    <col min="4878" max="4878" width="9" style="4" customWidth="1"/>
    <col min="4879" max="4879" width="11.1328125" style="4" bestFit="1" customWidth="1"/>
    <col min="4880" max="5120" width="9.1328125" style="4"/>
    <col min="5121" max="5121" width="9.3984375" style="4" bestFit="1" customWidth="1"/>
    <col min="5122" max="5122" width="10" style="4" bestFit="1" customWidth="1"/>
    <col min="5123" max="5123" width="9.1328125" style="4"/>
    <col min="5124" max="5124" width="12.1328125" style="4" bestFit="1" customWidth="1"/>
    <col min="5125" max="5125" width="9.59765625" style="4" customWidth="1"/>
    <col min="5126" max="5126" width="11.1328125" style="4" bestFit="1" customWidth="1"/>
    <col min="5127" max="5127" width="8.1328125" style="4" bestFit="1" customWidth="1"/>
    <col min="5128" max="5128" width="8" style="4" customWidth="1"/>
    <col min="5129" max="5129" width="11.1328125" style="4" bestFit="1" customWidth="1"/>
    <col min="5130" max="5130" width="9.265625" style="4" bestFit="1" customWidth="1"/>
    <col min="5131" max="5131" width="7.265625" style="4" customWidth="1"/>
    <col min="5132" max="5132" width="11.1328125" style="4" bestFit="1" customWidth="1"/>
    <col min="5133" max="5133" width="8.73046875" style="4" customWidth="1"/>
    <col min="5134" max="5134" width="9" style="4" customWidth="1"/>
    <col min="5135" max="5135" width="11.1328125" style="4" bestFit="1" customWidth="1"/>
    <col min="5136" max="5376" width="9.1328125" style="4"/>
    <col min="5377" max="5377" width="9.3984375" style="4" bestFit="1" customWidth="1"/>
    <col min="5378" max="5378" width="10" style="4" bestFit="1" customWidth="1"/>
    <col min="5379" max="5379" width="9.1328125" style="4"/>
    <col min="5380" max="5380" width="12.1328125" style="4" bestFit="1" customWidth="1"/>
    <col min="5381" max="5381" width="9.59765625" style="4" customWidth="1"/>
    <col min="5382" max="5382" width="11.1328125" style="4" bestFit="1" customWidth="1"/>
    <col min="5383" max="5383" width="8.1328125" style="4" bestFit="1" customWidth="1"/>
    <col min="5384" max="5384" width="8" style="4" customWidth="1"/>
    <col min="5385" max="5385" width="11.1328125" style="4" bestFit="1" customWidth="1"/>
    <col min="5386" max="5386" width="9.265625" style="4" bestFit="1" customWidth="1"/>
    <col min="5387" max="5387" width="7.265625" style="4" customWidth="1"/>
    <col min="5388" max="5388" width="11.1328125" style="4" bestFit="1" customWidth="1"/>
    <col min="5389" max="5389" width="8.73046875" style="4" customWidth="1"/>
    <col min="5390" max="5390" width="9" style="4" customWidth="1"/>
    <col min="5391" max="5391" width="11.1328125" style="4" bestFit="1" customWidth="1"/>
    <col min="5392" max="5632" width="9.1328125" style="4"/>
    <col min="5633" max="5633" width="9.3984375" style="4" bestFit="1" customWidth="1"/>
    <col min="5634" max="5634" width="10" style="4" bestFit="1" customWidth="1"/>
    <col min="5635" max="5635" width="9.1328125" style="4"/>
    <col min="5636" max="5636" width="12.1328125" style="4" bestFit="1" customWidth="1"/>
    <col min="5637" max="5637" width="9.59765625" style="4" customWidth="1"/>
    <col min="5638" max="5638" width="11.1328125" style="4" bestFit="1" customWidth="1"/>
    <col min="5639" max="5639" width="8.1328125" style="4" bestFit="1" customWidth="1"/>
    <col min="5640" max="5640" width="8" style="4" customWidth="1"/>
    <col min="5641" max="5641" width="11.1328125" style="4" bestFit="1" customWidth="1"/>
    <col min="5642" max="5642" width="9.265625" style="4" bestFit="1" customWidth="1"/>
    <col min="5643" max="5643" width="7.265625" style="4" customWidth="1"/>
    <col min="5644" max="5644" width="11.1328125" style="4" bestFit="1" customWidth="1"/>
    <col min="5645" max="5645" width="8.73046875" style="4" customWidth="1"/>
    <col min="5646" max="5646" width="9" style="4" customWidth="1"/>
    <col min="5647" max="5647" width="11.1328125" style="4" bestFit="1" customWidth="1"/>
    <col min="5648" max="5888" width="9.1328125" style="4"/>
    <col min="5889" max="5889" width="9.3984375" style="4" bestFit="1" customWidth="1"/>
    <col min="5890" max="5890" width="10" style="4" bestFit="1" customWidth="1"/>
    <col min="5891" max="5891" width="9.1328125" style="4"/>
    <col min="5892" max="5892" width="12.1328125" style="4" bestFit="1" customWidth="1"/>
    <col min="5893" max="5893" width="9.59765625" style="4" customWidth="1"/>
    <col min="5894" max="5894" width="11.1328125" style="4" bestFit="1" customWidth="1"/>
    <col min="5895" max="5895" width="8.1328125" style="4" bestFit="1" customWidth="1"/>
    <col min="5896" max="5896" width="8" style="4" customWidth="1"/>
    <col min="5897" max="5897" width="11.1328125" style="4" bestFit="1" customWidth="1"/>
    <col min="5898" max="5898" width="9.265625" style="4" bestFit="1" customWidth="1"/>
    <col min="5899" max="5899" width="7.265625" style="4" customWidth="1"/>
    <col min="5900" max="5900" width="11.1328125" style="4" bestFit="1" customWidth="1"/>
    <col min="5901" max="5901" width="8.73046875" style="4" customWidth="1"/>
    <col min="5902" max="5902" width="9" style="4" customWidth="1"/>
    <col min="5903" max="5903" width="11.1328125" style="4" bestFit="1" customWidth="1"/>
    <col min="5904" max="6144" width="9.1328125" style="4"/>
    <col min="6145" max="6145" width="9.3984375" style="4" bestFit="1" customWidth="1"/>
    <col min="6146" max="6146" width="10" style="4" bestFit="1" customWidth="1"/>
    <col min="6147" max="6147" width="9.1328125" style="4"/>
    <col min="6148" max="6148" width="12.1328125" style="4" bestFit="1" customWidth="1"/>
    <col min="6149" max="6149" width="9.59765625" style="4" customWidth="1"/>
    <col min="6150" max="6150" width="11.1328125" style="4" bestFit="1" customWidth="1"/>
    <col min="6151" max="6151" width="8.1328125" style="4" bestFit="1" customWidth="1"/>
    <col min="6152" max="6152" width="8" style="4" customWidth="1"/>
    <col min="6153" max="6153" width="11.1328125" style="4" bestFit="1" customWidth="1"/>
    <col min="6154" max="6154" width="9.265625" style="4" bestFit="1" customWidth="1"/>
    <col min="6155" max="6155" width="7.265625" style="4" customWidth="1"/>
    <col min="6156" max="6156" width="11.1328125" style="4" bestFit="1" customWidth="1"/>
    <col min="6157" max="6157" width="8.73046875" style="4" customWidth="1"/>
    <col min="6158" max="6158" width="9" style="4" customWidth="1"/>
    <col min="6159" max="6159" width="11.1328125" style="4" bestFit="1" customWidth="1"/>
    <col min="6160" max="6400" width="9.1328125" style="4"/>
    <col min="6401" max="6401" width="9.3984375" style="4" bestFit="1" customWidth="1"/>
    <col min="6402" max="6402" width="10" style="4" bestFit="1" customWidth="1"/>
    <col min="6403" max="6403" width="9.1328125" style="4"/>
    <col min="6404" max="6404" width="12.1328125" style="4" bestFit="1" customWidth="1"/>
    <col min="6405" max="6405" width="9.59765625" style="4" customWidth="1"/>
    <col min="6406" max="6406" width="11.1328125" style="4" bestFit="1" customWidth="1"/>
    <col min="6407" max="6407" width="8.1328125" style="4" bestFit="1" customWidth="1"/>
    <col min="6408" max="6408" width="8" style="4" customWidth="1"/>
    <col min="6409" max="6409" width="11.1328125" style="4" bestFit="1" customWidth="1"/>
    <col min="6410" max="6410" width="9.265625" style="4" bestFit="1" customWidth="1"/>
    <col min="6411" max="6411" width="7.265625" style="4" customWidth="1"/>
    <col min="6412" max="6412" width="11.1328125" style="4" bestFit="1" customWidth="1"/>
    <col min="6413" max="6413" width="8.73046875" style="4" customWidth="1"/>
    <col min="6414" max="6414" width="9" style="4" customWidth="1"/>
    <col min="6415" max="6415" width="11.1328125" style="4" bestFit="1" customWidth="1"/>
    <col min="6416" max="6656" width="9.1328125" style="4"/>
    <col min="6657" max="6657" width="9.3984375" style="4" bestFit="1" customWidth="1"/>
    <col min="6658" max="6658" width="10" style="4" bestFit="1" customWidth="1"/>
    <col min="6659" max="6659" width="9.1328125" style="4"/>
    <col min="6660" max="6660" width="12.1328125" style="4" bestFit="1" customWidth="1"/>
    <col min="6661" max="6661" width="9.59765625" style="4" customWidth="1"/>
    <col min="6662" max="6662" width="11.1328125" style="4" bestFit="1" customWidth="1"/>
    <col min="6663" max="6663" width="8.1328125" style="4" bestFit="1" customWidth="1"/>
    <col min="6664" max="6664" width="8" style="4" customWidth="1"/>
    <col min="6665" max="6665" width="11.1328125" style="4" bestFit="1" customWidth="1"/>
    <col min="6666" max="6666" width="9.265625" style="4" bestFit="1" customWidth="1"/>
    <col min="6667" max="6667" width="7.265625" style="4" customWidth="1"/>
    <col min="6668" max="6668" width="11.1328125" style="4" bestFit="1" customWidth="1"/>
    <col min="6669" max="6669" width="8.73046875" style="4" customWidth="1"/>
    <col min="6670" max="6670" width="9" style="4" customWidth="1"/>
    <col min="6671" max="6671" width="11.1328125" style="4" bestFit="1" customWidth="1"/>
    <col min="6672" max="6912" width="9.1328125" style="4"/>
    <col min="6913" max="6913" width="9.3984375" style="4" bestFit="1" customWidth="1"/>
    <col min="6914" max="6914" width="10" style="4" bestFit="1" customWidth="1"/>
    <col min="6915" max="6915" width="9.1328125" style="4"/>
    <col min="6916" max="6916" width="12.1328125" style="4" bestFit="1" customWidth="1"/>
    <col min="6917" max="6917" width="9.59765625" style="4" customWidth="1"/>
    <col min="6918" max="6918" width="11.1328125" style="4" bestFit="1" customWidth="1"/>
    <col min="6919" max="6919" width="8.1328125" style="4" bestFit="1" customWidth="1"/>
    <col min="6920" max="6920" width="8" style="4" customWidth="1"/>
    <col min="6921" max="6921" width="11.1328125" style="4" bestFit="1" customWidth="1"/>
    <col min="6922" max="6922" width="9.265625" style="4" bestFit="1" customWidth="1"/>
    <col min="6923" max="6923" width="7.265625" style="4" customWidth="1"/>
    <col min="6924" max="6924" width="11.1328125" style="4" bestFit="1" customWidth="1"/>
    <col min="6925" max="6925" width="8.73046875" style="4" customWidth="1"/>
    <col min="6926" max="6926" width="9" style="4" customWidth="1"/>
    <col min="6927" max="6927" width="11.1328125" style="4" bestFit="1" customWidth="1"/>
    <col min="6928" max="7168" width="9.1328125" style="4"/>
    <col min="7169" max="7169" width="9.3984375" style="4" bestFit="1" customWidth="1"/>
    <col min="7170" max="7170" width="10" style="4" bestFit="1" customWidth="1"/>
    <col min="7171" max="7171" width="9.1328125" style="4"/>
    <col min="7172" max="7172" width="12.1328125" style="4" bestFit="1" customWidth="1"/>
    <col min="7173" max="7173" width="9.59765625" style="4" customWidth="1"/>
    <col min="7174" max="7174" width="11.1328125" style="4" bestFit="1" customWidth="1"/>
    <col min="7175" max="7175" width="8.1328125" style="4" bestFit="1" customWidth="1"/>
    <col min="7176" max="7176" width="8" style="4" customWidth="1"/>
    <col min="7177" max="7177" width="11.1328125" style="4" bestFit="1" customWidth="1"/>
    <col min="7178" max="7178" width="9.265625" style="4" bestFit="1" customWidth="1"/>
    <col min="7179" max="7179" width="7.265625" style="4" customWidth="1"/>
    <col min="7180" max="7180" width="11.1328125" style="4" bestFit="1" customWidth="1"/>
    <col min="7181" max="7181" width="8.73046875" style="4" customWidth="1"/>
    <col min="7182" max="7182" width="9" style="4" customWidth="1"/>
    <col min="7183" max="7183" width="11.1328125" style="4" bestFit="1" customWidth="1"/>
    <col min="7184" max="7424" width="9.1328125" style="4"/>
    <col min="7425" max="7425" width="9.3984375" style="4" bestFit="1" customWidth="1"/>
    <col min="7426" max="7426" width="10" style="4" bestFit="1" customWidth="1"/>
    <col min="7427" max="7427" width="9.1328125" style="4"/>
    <col min="7428" max="7428" width="12.1328125" style="4" bestFit="1" customWidth="1"/>
    <col min="7429" max="7429" width="9.59765625" style="4" customWidth="1"/>
    <col min="7430" max="7430" width="11.1328125" style="4" bestFit="1" customWidth="1"/>
    <col min="7431" max="7431" width="8.1328125" style="4" bestFit="1" customWidth="1"/>
    <col min="7432" max="7432" width="8" style="4" customWidth="1"/>
    <col min="7433" max="7433" width="11.1328125" style="4" bestFit="1" customWidth="1"/>
    <col min="7434" max="7434" width="9.265625" style="4" bestFit="1" customWidth="1"/>
    <col min="7435" max="7435" width="7.265625" style="4" customWidth="1"/>
    <col min="7436" max="7436" width="11.1328125" style="4" bestFit="1" customWidth="1"/>
    <col min="7437" max="7437" width="8.73046875" style="4" customWidth="1"/>
    <col min="7438" max="7438" width="9" style="4" customWidth="1"/>
    <col min="7439" max="7439" width="11.1328125" style="4" bestFit="1" customWidth="1"/>
    <col min="7440" max="7680" width="9.1328125" style="4"/>
    <col min="7681" max="7681" width="9.3984375" style="4" bestFit="1" customWidth="1"/>
    <col min="7682" max="7682" width="10" style="4" bestFit="1" customWidth="1"/>
    <col min="7683" max="7683" width="9.1328125" style="4"/>
    <col min="7684" max="7684" width="12.1328125" style="4" bestFit="1" customWidth="1"/>
    <col min="7685" max="7685" width="9.59765625" style="4" customWidth="1"/>
    <col min="7686" max="7686" width="11.1328125" style="4" bestFit="1" customWidth="1"/>
    <col min="7687" max="7687" width="8.1328125" style="4" bestFit="1" customWidth="1"/>
    <col min="7688" max="7688" width="8" style="4" customWidth="1"/>
    <col min="7689" max="7689" width="11.1328125" style="4" bestFit="1" customWidth="1"/>
    <col min="7690" max="7690" width="9.265625" style="4" bestFit="1" customWidth="1"/>
    <col min="7691" max="7691" width="7.265625" style="4" customWidth="1"/>
    <col min="7692" max="7692" width="11.1328125" style="4" bestFit="1" customWidth="1"/>
    <col min="7693" max="7693" width="8.73046875" style="4" customWidth="1"/>
    <col min="7694" max="7694" width="9" style="4" customWidth="1"/>
    <col min="7695" max="7695" width="11.1328125" style="4" bestFit="1" customWidth="1"/>
    <col min="7696" max="7936" width="9.1328125" style="4"/>
    <col min="7937" max="7937" width="9.3984375" style="4" bestFit="1" customWidth="1"/>
    <col min="7938" max="7938" width="10" style="4" bestFit="1" customWidth="1"/>
    <col min="7939" max="7939" width="9.1328125" style="4"/>
    <col min="7940" max="7940" width="12.1328125" style="4" bestFit="1" customWidth="1"/>
    <col min="7941" max="7941" width="9.59765625" style="4" customWidth="1"/>
    <col min="7942" max="7942" width="11.1328125" style="4" bestFit="1" customWidth="1"/>
    <col min="7943" max="7943" width="8.1328125" style="4" bestFit="1" customWidth="1"/>
    <col min="7944" max="7944" width="8" style="4" customWidth="1"/>
    <col min="7945" max="7945" width="11.1328125" style="4" bestFit="1" customWidth="1"/>
    <col min="7946" max="7946" width="9.265625" style="4" bestFit="1" customWidth="1"/>
    <col min="7947" max="7947" width="7.265625" style="4" customWidth="1"/>
    <col min="7948" max="7948" width="11.1328125" style="4" bestFit="1" customWidth="1"/>
    <col min="7949" max="7949" width="8.73046875" style="4" customWidth="1"/>
    <col min="7950" max="7950" width="9" style="4" customWidth="1"/>
    <col min="7951" max="7951" width="11.1328125" style="4" bestFit="1" customWidth="1"/>
    <col min="7952" max="8192" width="9.1328125" style="4"/>
    <col min="8193" max="8193" width="9.3984375" style="4" bestFit="1" customWidth="1"/>
    <col min="8194" max="8194" width="10" style="4" bestFit="1" customWidth="1"/>
    <col min="8195" max="8195" width="9.1328125" style="4"/>
    <col min="8196" max="8196" width="12.1328125" style="4" bestFit="1" customWidth="1"/>
    <col min="8197" max="8197" width="9.59765625" style="4" customWidth="1"/>
    <col min="8198" max="8198" width="11.1328125" style="4" bestFit="1" customWidth="1"/>
    <col min="8199" max="8199" width="8.1328125" style="4" bestFit="1" customWidth="1"/>
    <col min="8200" max="8200" width="8" style="4" customWidth="1"/>
    <col min="8201" max="8201" width="11.1328125" style="4" bestFit="1" customWidth="1"/>
    <col min="8202" max="8202" width="9.265625" style="4" bestFit="1" customWidth="1"/>
    <col min="8203" max="8203" width="7.265625" style="4" customWidth="1"/>
    <col min="8204" max="8204" width="11.1328125" style="4" bestFit="1" customWidth="1"/>
    <col min="8205" max="8205" width="8.73046875" style="4" customWidth="1"/>
    <col min="8206" max="8206" width="9" style="4" customWidth="1"/>
    <col min="8207" max="8207" width="11.1328125" style="4" bestFit="1" customWidth="1"/>
    <col min="8208" max="8448" width="9.1328125" style="4"/>
    <col min="8449" max="8449" width="9.3984375" style="4" bestFit="1" customWidth="1"/>
    <col min="8450" max="8450" width="10" style="4" bestFit="1" customWidth="1"/>
    <col min="8451" max="8451" width="9.1328125" style="4"/>
    <col min="8452" max="8452" width="12.1328125" style="4" bestFit="1" customWidth="1"/>
    <col min="8453" max="8453" width="9.59765625" style="4" customWidth="1"/>
    <col min="8454" max="8454" width="11.1328125" style="4" bestFit="1" customWidth="1"/>
    <col min="8455" max="8455" width="8.1328125" style="4" bestFit="1" customWidth="1"/>
    <col min="8456" max="8456" width="8" style="4" customWidth="1"/>
    <col min="8457" max="8457" width="11.1328125" style="4" bestFit="1" customWidth="1"/>
    <col min="8458" max="8458" width="9.265625" style="4" bestFit="1" customWidth="1"/>
    <col min="8459" max="8459" width="7.265625" style="4" customWidth="1"/>
    <col min="8460" max="8460" width="11.1328125" style="4" bestFit="1" customWidth="1"/>
    <col min="8461" max="8461" width="8.73046875" style="4" customWidth="1"/>
    <col min="8462" max="8462" width="9" style="4" customWidth="1"/>
    <col min="8463" max="8463" width="11.1328125" style="4" bestFit="1" customWidth="1"/>
    <col min="8464" max="8704" width="9.1328125" style="4"/>
    <col min="8705" max="8705" width="9.3984375" style="4" bestFit="1" customWidth="1"/>
    <col min="8706" max="8706" width="10" style="4" bestFit="1" customWidth="1"/>
    <col min="8707" max="8707" width="9.1328125" style="4"/>
    <col min="8708" max="8708" width="12.1328125" style="4" bestFit="1" customWidth="1"/>
    <col min="8709" max="8709" width="9.59765625" style="4" customWidth="1"/>
    <col min="8710" max="8710" width="11.1328125" style="4" bestFit="1" customWidth="1"/>
    <col min="8711" max="8711" width="8.1328125" style="4" bestFit="1" customWidth="1"/>
    <col min="8712" max="8712" width="8" style="4" customWidth="1"/>
    <col min="8713" max="8713" width="11.1328125" style="4" bestFit="1" customWidth="1"/>
    <col min="8714" max="8714" width="9.265625" style="4" bestFit="1" customWidth="1"/>
    <col min="8715" max="8715" width="7.265625" style="4" customWidth="1"/>
    <col min="8716" max="8716" width="11.1328125" style="4" bestFit="1" customWidth="1"/>
    <col min="8717" max="8717" width="8.73046875" style="4" customWidth="1"/>
    <col min="8718" max="8718" width="9" style="4" customWidth="1"/>
    <col min="8719" max="8719" width="11.1328125" style="4" bestFit="1" customWidth="1"/>
    <col min="8720" max="8960" width="9.1328125" style="4"/>
    <col min="8961" max="8961" width="9.3984375" style="4" bestFit="1" customWidth="1"/>
    <col min="8962" max="8962" width="10" style="4" bestFit="1" customWidth="1"/>
    <col min="8963" max="8963" width="9.1328125" style="4"/>
    <col min="8964" max="8964" width="12.1328125" style="4" bestFit="1" customWidth="1"/>
    <col min="8965" max="8965" width="9.59765625" style="4" customWidth="1"/>
    <col min="8966" max="8966" width="11.1328125" style="4" bestFit="1" customWidth="1"/>
    <col min="8967" max="8967" width="8.1328125" style="4" bestFit="1" customWidth="1"/>
    <col min="8968" max="8968" width="8" style="4" customWidth="1"/>
    <col min="8969" max="8969" width="11.1328125" style="4" bestFit="1" customWidth="1"/>
    <col min="8970" max="8970" width="9.265625" style="4" bestFit="1" customWidth="1"/>
    <col min="8971" max="8971" width="7.265625" style="4" customWidth="1"/>
    <col min="8972" max="8972" width="11.1328125" style="4" bestFit="1" customWidth="1"/>
    <col min="8973" max="8973" width="8.73046875" style="4" customWidth="1"/>
    <col min="8974" max="8974" width="9" style="4" customWidth="1"/>
    <col min="8975" max="8975" width="11.1328125" style="4" bestFit="1" customWidth="1"/>
    <col min="8976" max="9216" width="9.1328125" style="4"/>
    <col min="9217" max="9217" width="9.3984375" style="4" bestFit="1" customWidth="1"/>
    <col min="9218" max="9218" width="10" style="4" bestFit="1" customWidth="1"/>
    <col min="9219" max="9219" width="9.1328125" style="4"/>
    <col min="9220" max="9220" width="12.1328125" style="4" bestFit="1" customWidth="1"/>
    <col min="9221" max="9221" width="9.59765625" style="4" customWidth="1"/>
    <col min="9222" max="9222" width="11.1328125" style="4" bestFit="1" customWidth="1"/>
    <col min="9223" max="9223" width="8.1328125" style="4" bestFit="1" customWidth="1"/>
    <col min="9224" max="9224" width="8" style="4" customWidth="1"/>
    <col min="9225" max="9225" width="11.1328125" style="4" bestFit="1" customWidth="1"/>
    <col min="9226" max="9226" width="9.265625" style="4" bestFit="1" customWidth="1"/>
    <col min="9227" max="9227" width="7.265625" style="4" customWidth="1"/>
    <col min="9228" max="9228" width="11.1328125" style="4" bestFit="1" customWidth="1"/>
    <col min="9229" max="9229" width="8.73046875" style="4" customWidth="1"/>
    <col min="9230" max="9230" width="9" style="4" customWidth="1"/>
    <col min="9231" max="9231" width="11.1328125" style="4" bestFit="1" customWidth="1"/>
    <col min="9232" max="9472" width="9.1328125" style="4"/>
    <col min="9473" max="9473" width="9.3984375" style="4" bestFit="1" customWidth="1"/>
    <col min="9474" max="9474" width="10" style="4" bestFit="1" customWidth="1"/>
    <col min="9475" max="9475" width="9.1328125" style="4"/>
    <col min="9476" max="9476" width="12.1328125" style="4" bestFit="1" customWidth="1"/>
    <col min="9477" max="9477" width="9.59765625" style="4" customWidth="1"/>
    <col min="9478" max="9478" width="11.1328125" style="4" bestFit="1" customWidth="1"/>
    <col min="9479" max="9479" width="8.1328125" style="4" bestFit="1" customWidth="1"/>
    <col min="9480" max="9480" width="8" style="4" customWidth="1"/>
    <col min="9481" max="9481" width="11.1328125" style="4" bestFit="1" customWidth="1"/>
    <col min="9482" max="9482" width="9.265625" style="4" bestFit="1" customWidth="1"/>
    <col min="9483" max="9483" width="7.265625" style="4" customWidth="1"/>
    <col min="9484" max="9484" width="11.1328125" style="4" bestFit="1" customWidth="1"/>
    <col min="9485" max="9485" width="8.73046875" style="4" customWidth="1"/>
    <col min="9486" max="9486" width="9" style="4" customWidth="1"/>
    <col min="9487" max="9487" width="11.1328125" style="4" bestFit="1" customWidth="1"/>
    <col min="9488" max="9728" width="9.1328125" style="4"/>
    <col min="9729" max="9729" width="9.3984375" style="4" bestFit="1" customWidth="1"/>
    <col min="9730" max="9730" width="10" style="4" bestFit="1" customWidth="1"/>
    <col min="9731" max="9731" width="9.1328125" style="4"/>
    <col min="9732" max="9732" width="12.1328125" style="4" bestFit="1" customWidth="1"/>
    <col min="9733" max="9733" width="9.59765625" style="4" customWidth="1"/>
    <col min="9734" max="9734" width="11.1328125" style="4" bestFit="1" customWidth="1"/>
    <col min="9735" max="9735" width="8.1328125" style="4" bestFit="1" customWidth="1"/>
    <col min="9736" max="9736" width="8" style="4" customWidth="1"/>
    <col min="9737" max="9737" width="11.1328125" style="4" bestFit="1" customWidth="1"/>
    <col min="9738" max="9738" width="9.265625" style="4" bestFit="1" customWidth="1"/>
    <col min="9739" max="9739" width="7.265625" style="4" customWidth="1"/>
    <col min="9740" max="9740" width="11.1328125" style="4" bestFit="1" customWidth="1"/>
    <col min="9741" max="9741" width="8.73046875" style="4" customWidth="1"/>
    <col min="9742" max="9742" width="9" style="4" customWidth="1"/>
    <col min="9743" max="9743" width="11.1328125" style="4" bestFit="1" customWidth="1"/>
    <col min="9744" max="9984" width="9.1328125" style="4"/>
    <col min="9985" max="9985" width="9.3984375" style="4" bestFit="1" customWidth="1"/>
    <col min="9986" max="9986" width="10" style="4" bestFit="1" customWidth="1"/>
    <col min="9987" max="9987" width="9.1328125" style="4"/>
    <col min="9988" max="9988" width="12.1328125" style="4" bestFit="1" customWidth="1"/>
    <col min="9989" max="9989" width="9.59765625" style="4" customWidth="1"/>
    <col min="9990" max="9990" width="11.1328125" style="4" bestFit="1" customWidth="1"/>
    <col min="9991" max="9991" width="8.1328125" style="4" bestFit="1" customWidth="1"/>
    <col min="9992" max="9992" width="8" style="4" customWidth="1"/>
    <col min="9993" max="9993" width="11.1328125" style="4" bestFit="1" customWidth="1"/>
    <col min="9994" max="9994" width="9.265625" style="4" bestFit="1" customWidth="1"/>
    <col min="9995" max="9995" width="7.265625" style="4" customWidth="1"/>
    <col min="9996" max="9996" width="11.1328125" style="4" bestFit="1" customWidth="1"/>
    <col min="9997" max="9997" width="8.73046875" style="4" customWidth="1"/>
    <col min="9998" max="9998" width="9" style="4" customWidth="1"/>
    <col min="9999" max="9999" width="11.1328125" style="4" bestFit="1" customWidth="1"/>
    <col min="10000" max="10240" width="9.1328125" style="4"/>
    <col min="10241" max="10241" width="9.3984375" style="4" bestFit="1" customWidth="1"/>
    <col min="10242" max="10242" width="10" style="4" bestFit="1" customWidth="1"/>
    <col min="10243" max="10243" width="9.1328125" style="4"/>
    <col min="10244" max="10244" width="12.1328125" style="4" bestFit="1" customWidth="1"/>
    <col min="10245" max="10245" width="9.59765625" style="4" customWidth="1"/>
    <col min="10246" max="10246" width="11.1328125" style="4" bestFit="1" customWidth="1"/>
    <col min="10247" max="10247" width="8.1328125" style="4" bestFit="1" customWidth="1"/>
    <col min="10248" max="10248" width="8" style="4" customWidth="1"/>
    <col min="10249" max="10249" width="11.1328125" style="4" bestFit="1" customWidth="1"/>
    <col min="10250" max="10250" width="9.265625" style="4" bestFit="1" customWidth="1"/>
    <col min="10251" max="10251" width="7.265625" style="4" customWidth="1"/>
    <col min="10252" max="10252" width="11.1328125" style="4" bestFit="1" customWidth="1"/>
    <col min="10253" max="10253" width="8.73046875" style="4" customWidth="1"/>
    <col min="10254" max="10254" width="9" style="4" customWidth="1"/>
    <col min="10255" max="10255" width="11.1328125" style="4" bestFit="1" customWidth="1"/>
    <col min="10256" max="10496" width="9.1328125" style="4"/>
    <col min="10497" max="10497" width="9.3984375" style="4" bestFit="1" customWidth="1"/>
    <col min="10498" max="10498" width="10" style="4" bestFit="1" customWidth="1"/>
    <col min="10499" max="10499" width="9.1328125" style="4"/>
    <col min="10500" max="10500" width="12.1328125" style="4" bestFit="1" customWidth="1"/>
    <col min="10501" max="10501" width="9.59765625" style="4" customWidth="1"/>
    <col min="10502" max="10502" width="11.1328125" style="4" bestFit="1" customWidth="1"/>
    <col min="10503" max="10503" width="8.1328125" style="4" bestFit="1" customWidth="1"/>
    <col min="10504" max="10504" width="8" style="4" customWidth="1"/>
    <col min="10505" max="10505" width="11.1328125" style="4" bestFit="1" customWidth="1"/>
    <col min="10506" max="10506" width="9.265625" style="4" bestFit="1" customWidth="1"/>
    <col min="10507" max="10507" width="7.265625" style="4" customWidth="1"/>
    <col min="10508" max="10508" width="11.1328125" style="4" bestFit="1" customWidth="1"/>
    <col min="10509" max="10509" width="8.73046875" style="4" customWidth="1"/>
    <col min="10510" max="10510" width="9" style="4" customWidth="1"/>
    <col min="10511" max="10511" width="11.1328125" style="4" bestFit="1" customWidth="1"/>
    <col min="10512" max="10752" width="9.1328125" style="4"/>
    <col min="10753" max="10753" width="9.3984375" style="4" bestFit="1" customWidth="1"/>
    <col min="10754" max="10754" width="10" style="4" bestFit="1" customWidth="1"/>
    <col min="10755" max="10755" width="9.1328125" style="4"/>
    <col min="10756" max="10756" width="12.1328125" style="4" bestFit="1" customWidth="1"/>
    <col min="10757" max="10757" width="9.59765625" style="4" customWidth="1"/>
    <col min="10758" max="10758" width="11.1328125" style="4" bestFit="1" customWidth="1"/>
    <col min="10759" max="10759" width="8.1328125" style="4" bestFit="1" customWidth="1"/>
    <col min="10760" max="10760" width="8" style="4" customWidth="1"/>
    <col min="10761" max="10761" width="11.1328125" style="4" bestFit="1" customWidth="1"/>
    <col min="10762" max="10762" width="9.265625" style="4" bestFit="1" customWidth="1"/>
    <col min="10763" max="10763" width="7.265625" style="4" customWidth="1"/>
    <col min="10764" max="10764" width="11.1328125" style="4" bestFit="1" customWidth="1"/>
    <col min="10765" max="10765" width="8.73046875" style="4" customWidth="1"/>
    <col min="10766" max="10766" width="9" style="4" customWidth="1"/>
    <col min="10767" max="10767" width="11.1328125" style="4" bestFit="1" customWidth="1"/>
    <col min="10768" max="11008" width="9.1328125" style="4"/>
    <col min="11009" max="11009" width="9.3984375" style="4" bestFit="1" customWidth="1"/>
    <col min="11010" max="11010" width="10" style="4" bestFit="1" customWidth="1"/>
    <col min="11011" max="11011" width="9.1328125" style="4"/>
    <col min="11012" max="11012" width="12.1328125" style="4" bestFit="1" customWidth="1"/>
    <col min="11013" max="11013" width="9.59765625" style="4" customWidth="1"/>
    <col min="11014" max="11014" width="11.1328125" style="4" bestFit="1" customWidth="1"/>
    <col min="11015" max="11015" width="8.1328125" style="4" bestFit="1" customWidth="1"/>
    <col min="11016" max="11016" width="8" style="4" customWidth="1"/>
    <col min="11017" max="11017" width="11.1328125" style="4" bestFit="1" customWidth="1"/>
    <col min="11018" max="11018" width="9.265625" style="4" bestFit="1" customWidth="1"/>
    <col min="11019" max="11019" width="7.265625" style="4" customWidth="1"/>
    <col min="11020" max="11020" width="11.1328125" style="4" bestFit="1" customWidth="1"/>
    <col min="11021" max="11021" width="8.73046875" style="4" customWidth="1"/>
    <col min="11022" max="11022" width="9" style="4" customWidth="1"/>
    <col min="11023" max="11023" width="11.1328125" style="4" bestFit="1" customWidth="1"/>
    <col min="11024" max="11264" width="9.1328125" style="4"/>
    <col min="11265" max="11265" width="9.3984375" style="4" bestFit="1" customWidth="1"/>
    <col min="11266" max="11266" width="10" style="4" bestFit="1" customWidth="1"/>
    <col min="11267" max="11267" width="9.1328125" style="4"/>
    <col min="11268" max="11268" width="12.1328125" style="4" bestFit="1" customWidth="1"/>
    <col min="11269" max="11269" width="9.59765625" style="4" customWidth="1"/>
    <col min="11270" max="11270" width="11.1328125" style="4" bestFit="1" customWidth="1"/>
    <col min="11271" max="11271" width="8.1328125" style="4" bestFit="1" customWidth="1"/>
    <col min="11272" max="11272" width="8" style="4" customWidth="1"/>
    <col min="11273" max="11273" width="11.1328125" style="4" bestFit="1" customWidth="1"/>
    <col min="11274" max="11274" width="9.265625" style="4" bestFit="1" customWidth="1"/>
    <col min="11275" max="11275" width="7.265625" style="4" customWidth="1"/>
    <col min="11276" max="11276" width="11.1328125" style="4" bestFit="1" customWidth="1"/>
    <col min="11277" max="11277" width="8.73046875" style="4" customWidth="1"/>
    <col min="11278" max="11278" width="9" style="4" customWidth="1"/>
    <col min="11279" max="11279" width="11.1328125" style="4" bestFit="1" customWidth="1"/>
    <col min="11280" max="11520" width="9.1328125" style="4"/>
    <col min="11521" max="11521" width="9.3984375" style="4" bestFit="1" customWidth="1"/>
    <col min="11522" max="11522" width="10" style="4" bestFit="1" customWidth="1"/>
    <col min="11523" max="11523" width="9.1328125" style="4"/>
    <col min="11524" max="11524" width="12.1328125" style="4" bestFit="1" customWidth="1"/>
    <col min="11525" max="11525" width="9.59765625" style="4" customWidth="1"/>
    <col min="11526" max="11526" width="11.1328125" style="4" bestFit="1" customWidth="1"/>
    <col min="11527" max="11527" width="8.1328125" style="4" bestFit="1" customWidth="1"/>
    <col min="11528" max="11528" width="8" style="4" customWidth="1"/>
    <col min="11529" max="11529" width="11.1328125" style="4" bestFit="1" customWidth="1"/>
    <col min="11530" max="11530" width="9.265625" style="4" bestFit="1" customWidth="1"/>
    <col min="11531" max="11531" width="7.265625" style="4" customWidth="1"/>
    <col min="11532" max="11532" width="11.1328125" style="4" bestFit="1" customWidth="1"/>
    <col min="11533" max="11533" width="8.73046875" style="4" customWidth="1"/>
    <col min="11534" max="11534" width="9" style="4" customWidth="1"/>
    <col min="11535" max="11535" width="11.1328125" style="4" bestFit="1" customWidth="1"/>
    <col min="11536" max="11776" width="9.1328125" style="4"/>
    <col min="11777" max="11777" width="9.3984375" style="4" bestFit="1" customWidth="1"/>
    <col min="11778" max="11778" width="10" style="4" bestFit="1" customWidth="1"/>
    <col min="11779" max="11779" width="9.1328125" style="4"/>
    <col min="11780" max="11780" width="12.1328125" style="4" bestFit="1" customWidth="1"/>
    <col min="11781" max="11781" width="9.59765625" style="4" customWidth="1"/>
    <col min="11782" max="11782" width="11.1328125" style="4" bestFit="1" customWidth="1"/>
    <col min="11783" max="11783" width="8.1328125" style="4" bestFit="1" customWidth="1"/>
    <col min="11784" max="11784" width="8" style="4" customWidth="1"/>
    <col min="11785" max="11785" width="11.1328125" style="4" bestFit="1" customWidth="1"/>
    <col min="11786" max="11786" width="9.265625" style="4" bestFit="1" customWidth="1"/>
    <col min="11787" max="11787" width="7.265625" style="4" customWidth="1"/>
    <col min="11788" max="11788" width="11.1328125" style="4" bestFit="1" customWidth="1"/>
    <col min="11789" max="11789" width="8.73046875" style="4" customWidth="1"/>
    <col min="11790" max="11790" width="9" style="4" customWidth="1"/>
    <col min="11791" max="11791" width="11.1328125" style="4" bestFit="1" customWidth="1"/>
    <col min="11792" max="12032" width="9.1328125" style="4"/>
    <col min="12033" max="12033" width="9.3984375" style="4" bestFit="1" customWidth="1"/>
    <col min="12034" max="12034" width="10" style="4" bestFit="1" customWidth="1"/>
    <col min="12035" max="12035" width="9.1328125" style="4"/>
    <col min="12036" max="12036" width="12.1328125" style="4" bestFit="1" customWidth="1"/>
    <col min="12037" max="12037" width="9.59765625" style="4" customWidth="1"/>
    <col min="12038" max="12038" width="11.1328125" style="4" bestFit="1" customWidth="1"/>
    <col min="12039" max="12039" width="8.1328125" style="4" bestFit="1" customWidth="1"/>
    <col min="12040" max="12040" width="8" style="4" customWidth="1"/>
    <col min="12041" max="12041" width="11.1328125" style="4" bestFit="1" customWidth="1"/>
    <col min="12042" max="12042" width="9.265625" style="4" bestFit="1" customWidth="1"/>
    <col min="12043" max="12043" width="7.265625" style="4" customWidth="1"/>
    <col min="12044" max="12044" width="11.1328125" style="4" bestFit="1" customWidth="1"/>
    <col min="12045" max="12045" width="8.73046875" style="4" customWidth="1"/>
    <col min="12046" max="12046" width="9" style="4" customWidth="1"/>
    <col min="12047" max="12047" width="11.1328125" style="4" bestFit="1" customWidth="1"/>
    <col min="12048" max="12288" width="9.1328125" style="4"/>
    <col min="12289" max="12289" width="9.3984375" style="4" bestFit="1" customWidth="1"/>
    <col min="12290" max="12290" width="10" style="4" bestFit="1" customWidth="1"/>
    <col min="12291" max="12291" width="9.1328125" style="4"/>
    <col min="12292" max="12292" width="12.1328125" style="4" bestFit="1" customWidth="1"/>
    <col min="12293" max="12293" width="9.59765625" style="4" customWidth="1"/>
    <col min="12294" max="12294" width="11.1328125" style="4" bestFit="1" customWidth="1"/>
    <col min="12295" max="12295" width="8.1328125" style="4" bestFit="1" customWidth="1"/>
    <col min="12296" max="12296" width="8" style="4" customWidth="1"/>
    <col min="12297" max="12297" width="11.1328125" style="4" bestFit="1" customWidth="1"/>
    <col min="12298" max="12298" width="9.265625" style="4" bestFit="1" customWidth="1"/>
    <col min="12299" max="12299" width="7.265625" style="4" customWidth="1"/>
    <col min="12300" max="12300" width="11.1328125" style="4" bestFit="1" customWidth="1"/>
    <col min="12301" max="12301" width="8.73046875" style="4" customWidth="1"/>
    <col min="12302" max="12302" width="9" style="4" customWidth="1"/>
    <col min="12303" max="12303" width="11.1328125" style="4" bestFit="1" customWidth="1"/>
    <col min="12304" max="12544" width="9.1328125" style="4"/>
    <col min="12545" max="12545" width="9.3984375" style="4" bestFit="1" customWidth="1"/>
    <col min="12546" max="12546" width="10" style="4" bestFit="1" customWidth="1"/>
    <col min="12547" max="12547" width="9.1328125" style="4"/>
    <col min="12548" max="12548" width="12.1328125" style="4" bestFit="1" customWidth="1"/>
    <col min="12549" max="12549" width="9.59765625" style="4" customWidth="1"/>
    <col min="12550" max="12550" width="11.1328125" style="4" bestFit="1" customWidth="1"/>
    <col min="12551" max="12551" width="8.1328125" style="4" bestFit="1" customWidth="1"/>
    <col min="12552" max="12552" width="8" style="4" customWidth="1"/>
    <col min="12553" max="12553" width="11.1328125" style="4" bestFit="1" customWidth="1"/>
    <col min="12554" max="12554" width="9.265625" style="4" bestFit="1" customWidth="1"/>
    <col min="12555" max="12555" width="7.265625" style="4" customWidth="1"/>
    <col min="12556" max="12556" width="11.1328125" style="4" bestFit="1" customWidth="1"/>
    <col min="12557" max="12557" width="8.73046875" style="4" customWidth="1"/>
    <col min="12558" max="12558" width="9" style="4" customWidth="1"/>
    <col min="12559" max="12559" width="11.1328125" style="4" bestFit="1" customWidth="1"/>
    <col min="12560" max="12800" width="9.1328125" style="4"/>
    <col min="12801" max="12801" width="9.3984375" style="4" bestFit="1" customWidth="1"/>
    <col min="12802" max="12802" width="10" style="4" bestFit="1" customWidth="1"/>
    <col min="12803" max="12803" width="9.1328125" style="4"/>
    <col min="12804" max="12804" width="12.1328125" style="4" bestFit="1" customWidth="1"/>
    <col min="12805" max="12805" width="9.59765625" style="4" customWidth="1"/>
    <col min="12806" max="12806" width="11.1328125" style="4" bestFit="1" customWidth="1"/>
    <col min="12807" max="12807" width="8.1328125" style="4" bestFit="1" customWidth="1"/>
    <col min="12808" max="12808" width="8" style="4" customWidth="1"/>
    <col min="12809" max="12809" width="11.1328125" style="4" bestFit="1" customWidth="1"/>
    <col min="12810" max="12810" width="9.265625" style="4" bestFit="1" customWidth="1"/>
    <col min="12811" max="12811" width="7.265625" style="4" customWidth="1"/>
    <col min="12812" max="12812" width="11.1328125" style="4" bestFit="1" customWidth="1"/>
    <col min="12813" max="12813" width="8.73046875" style="4" customWidth="1"/>
    <col min="12814" max="12814" width="9" style="4" customWidth="1"/>
    <col min="12815" max="12815" width="11.1328125" style="4" bestFit="1" customWidth="1"/>
    <col min="12816" max="13056" width="9.1328125" style="4"/>
    <col min="13057" max="13057" width="9.3984375" style="4" bestFit="1" customWidth="1"/>
    <col min="13058" max="13058" width="10" style="4" bestFit="1" customWidth="1"/>
    <col min="13059" max="13059" width="9.1328125" style="4"/>
    <col min="13060" max="13060" width="12.1328125" style="4" bestFit="1" customWidth="1"/>
    <col min="13061" max="13061" width="9.59765625" style="4" customWidth="1"/>
    <col min="13062" max="13062" width="11.1328125" style="4" bestFit="1" customWidth="1"/>
    <col min="13063" max="13063" width="8.1328125" style="4" bestFit="1" customWidth="1"/>
    <col min="13064" max="13064" width="8" style="4" customWidth="1"/>
    <col min="13065" max="13065" width="11.1328125" style="4" bestFit="1" customWidth="1"/>
    <col min="13066" max="13066" width="9.265625" style="4" bestFit="1" customWidth="1"/>
    <col min="13067" max="13067" width="7.265625" style="4" customWidth="1"/>
    <col min="13068" max="13068" width="11.1328125" style="4" bestFit="1" customWidth="1"/>
    <col min="13069" max="13069" width="8.73046875" style="4" customWidth="1"/>
    <col min="13070" max="13070" width="9" style="4" customWidth="1"/>
    <col min="13071" max="13071" width="11.1328125" style="4" bestFit="1" customWidth="1"/>
    <col min="13072" max="13312" width="9.1328125" style="4"/>
    <col min="13313" max="13313" width="9.3984375" style="4" bestFit="1" customWidth="1"/>
    <col min="13314" max="13314" width="10" style="4" bestFit="1" customWidth="1"/>
    <col min="13315" max="13315" width="9.1328125" style="4"/>
    <col min="13316" max="13316" width="12.1328125" style="4" bestFit="1" customWidth="1"/>
    <col min="13317" max="13317" width="9.59765625" style="4" customWidth="1"/>
    <col min="13318" max="13318" width="11.1328125" style="4" bestFit="1" customWidth="1"/>
    <col min="13319" max="13319" width="8.1328125" style="4" bestFit="1" customWidth="1"/>
    <col min="13320" max="13320" width="8" style="4" customWidth="1"/>
    <col min="13321" max="13321" width="11.1328125" style="4" bestFit="1" customWidth="1"/>
    <col min="13322" max="13322" width="9.265625" style="4" bestFit="1" customWidth="1"/>
    <col min="13323" max="13323" width="7.265625" style="4" customWidth="1"/>
    <col min="13324" max="13324" width="11.1328125" style="4" bestFit="1" customWidth="1"/>
    <col min="13325" max="13325" width="8.73046875" style="4" customWidth="1"/>
    <col min="13326" max="13326" width="9" style="4" customWidth="1"/>
    <col min="13327" max="13327" width="11.1328125" style="4" bestFit="1" customWidth="1"/>
    <col min="13328" max="13568" width="9.1328125" style="4"/>
    <col min="13569" max="13569" width="9.3984375" style="4" bestFit="1" customWidth="1"/>
    <col min="13570" max="13570" width="10" style="4" bestFit="1" customWidth="1"/>
    <col min="13571" max="13571" width="9.1328125" style="4"/>
    <col min="13572" max="13572" width="12.1328125" style="4" bestFit="1" customWidth="1"/>
    <col min="13573" max="13573" width="9.59765625" style="4" customWidth="1"/>
    <col min="13574" max="13574" width="11.1328125" style="4" bestFit="1" customWidth="1"/>
    <col min="13575" max="13575" width="8.1328125" style="4" bestFit="1" customWidth="1"/>
    <col min="13576" max="13576" width="8" style="4" customWidth="1"/>
    <col min="13577" max="13577" width="11.1328125" style="4" bestFit="1" customWidth="1"/>
    <col min="13578" max="13578" width="9.265625" style="4" bestFit="1" customWidth="1"/>
    <col min="13579" max="13579" width="7.265625" style="4" customWidth="1"/>
    <col min="13580" max="13580" width="11.1328125" style="4" bestFit="1" customWidth="1"/>
    <col min="13581" max="13581" width="8.73046875" style="4" customWidth="1"/>
    <col min="13582" max="13582" width="9" style="4" customWidth="1"/>
    <col min="13583" max="13583" width="11.1328125" style="4" bestFit="1" customWidth="1"/>
    <col min="13584" max="13824" width="9.1328125" style="4"/>
    <col min="13825" max="13825" width="9.3984375" style="4" bestFit="1" customWidth="1"/>
    <col min="13826" max="13826" width="10" style="4" bestFit="1" customWidth="1"/>
    <col min="13827" max="13827" width="9.1328125" style="4"/>
    <col min="13828" max="13828" width="12.1328125" style="4" bestFit="1" customWidth="1"/>
    <col min="13829" max="13829" width="9.59765625" style="4" customWidth="1"/>
    <col min="13830" max="13830" width="11.1328125" style="4" bestFit="1" customWidth="1"/>
    <col min="13831" max="13831" width="8.1328125" style="4" bestFit="1" customWidth="1"/>
    <col min="13832" max="13832" width="8" style="4" customWidth="1"/>
    <col min="13833" max="13833" width="11.1328125" style="4" bestFit="1" customWidth="1"/>
    <col min="13834" max="13834" width="9.265625" style="4" bestFit="1" customWidth="1"/>
    <col min="13835" max="13835" width="7.265625" style="4" customWidth="1"/>
    <col min="13836" max="13836" width="11.1328125" style="4" bestFit="1" customWidth="1"/>
    <col min="13837" max="13837" width="8.73046875" style="4" customWidth="1"/>
    <col min="13838" max="13838" width="9" style="4" customWidth="1"/>
    <col min="13839" max="13839" width="11.1328125" style="4" bestFit="1" customWidth="1"/>
    <col min="13840" max="14080" width="9.1328125" style="4"/>
    <col min="14081" max="14081" width="9.3984375" style="4" bestFit="1" customWidth="1"/>
    <col min="14082" max="14082" width="10" style="4" bestFit="1" customWidth="1"/>
    <col min="14083" max="14083" width="9.1328125" style="4"/>
    <col min="14084" max="14084" width="12.1328125" style="4" bestFit="1" customWidth="1"/>
    <col min="14085" max="14085" width="9.59765625" style="4" customWidth="1"/>
    <col min="14086" max="14086" width="11.1328125" style="4" bestFit="1" customWidth="1"/>
    <col min="14087" max="14087" width="8.1328125" style="4" bestFit="1" customWidth="1"/>
    <col min="14088" max="14088" width="8" style="4" customWidth="1"/>
    <col min="14089" max="14089" width="11.1328125" style="4" bestFit="1" customWidth="1"/>
    <col min="14090" max="14090" width="9.265625" style="4" bestFit="1" customWidth="1"/>
    <col min="14091" max="14091" width="7.265625" style="4" customWidth="1"/>
    <col min="14092" max="14092" width="11.1328125" style="4" bestFit="1" customWidth="1"/>
    <col min="14093" max="14093" width="8.73046875" style="4" customWidth="1"/>
    <col min="14094" max="14094" width="9" style="4" customWidth="1"/>
    <col min="14095" max="14095" width="11.1328125" style="4" bestFit="1" customWidth="1"/>
    <col min="14096" max="14336" width="9.1328125" style="4"/>
    <col min="14337" max="14337" width="9.3984375" style="4" bestFit="1" customWidth="1"/>
    <col min="14338" max="14338" width="10" style="4" bestFit="1" customWidth="1"/>
    <col min="14339" max="14339" width="9.1328125" style="4"/>
    <col min="14340" max="14340" width="12.1328125" style="4" bestFit="1" customWidth="1"/>
    <col min="14341" max="14341" width="9.59765625" style="4" customWidth="1"/>
    <col min="14342" max="14342" width="11.1328125" style="4" bestFit="1" customWidth="1"/>
    <col min="14343" max="14343" width="8.1328125" style="4" bestFit="1" customWidth="1"/>
    <col min="14344" max="14344" width="8" style="4" customWidth="1"/>
    <col min="14345" max="14345" width="11.1328125" style="4" bestFit="1" customWidth="1"/>
    <col min="14346" max="14346" width="9.265625" style="4" bestFit="1" customWidth="1"/>
    <col min="14347" max="14347" width="7.265625" style="4" customWidth="1"/>
    <col min="14348" max="14348" width="11.1328125" style="4" bestFit="1" customWidth="1"/>
    <col min="14349" max="14349" width="8.73046875" style="4" customWidth="1"/>
    <col min="14350" max="14350" width="9" style="4" customWidth="1"/>
    <col min="14351" max="14351" width="11.1328125" style="4" bestFit="1" customWidth="1"/>
    <col min="14352" max="14592" width="9.1328125" style="4"/>
    <col min="14593" max="14593" width="9.3984375" style="4" bestFit="1" customWidth="1"/>
    <col min="14594" max="14594" width="10" style="4" bestFit="1" customWidth="1"/>
    <col min="14595" max="14595" width="9.1328125" style="4"/>
    <col min="14596" max="14596" width="12.1328125" style="4" bestFit="1" customWidth="1"/>
    <col min="14597" max="14597" width="9.59765625" style="4" customWidth="1"/>
    <col min="14598" max="14598" width="11.1328125" style="4" bestFit="1" customWidth="1"/>
    <col min="14599" max="14599" width="8.1328125" style="4" bestFit="1" customWidth="1"/>
    <col min="14600" max="14600" width="8" style="4" customWidth="1"/>
    <col min="14601" max="14601" width="11.1328125" style="4" bestFit="1" customWidth="1"/>
    <col min="14602" max="14602" width="9.265625" style="4" bestFit="1" customWidth="1"/>
    <col min="14603" max="14603" width="7.265625" style="4" customWidth="1"/>
    <col min="14604" max="14604" width="11.1328125" style="4" bestFit="1" customWidth="1"/>
    <col min="14605" max="14605" width="8.73046875" style="4" customWidth="1"/>
    <col min="14606" max="14606" width="9" style="4" customWidth="1"/>
    <col min="14607" max="14607" width="11.1328125" style="4" bestFit="1" customWidth="1"/>
    <col min="14608" max="14848" width="9.1328125" style="4"/>
    <col min="14849" max="14849" width="9.3984375" style="4" bestFit="1" customWidth="1"/>
    <col min="14850" max="14850" width="10" style="4" bestFit="1" customWidth="1"/>
    <col min="14851" max="14851" width="9.1328125" style="4"/>
    <col min="14852" max="14852" width="12.1328125" style="4" bestFit="1" customWidth="1"/>
    <col min="14853" max="14853" width="9.59765625" style="4" customWidth="1"/>
    <col min="14854" max="14854" width="11.1328125" style="4" bestFit="1" customWidth="1"/>
    <col min="14855" max="14855" width="8.1328125" style="4" bestFit="1" customWidth="1"/>
    <col min="14856" max="14856" width="8" style="4" customWidth="1"/>
    <col min="14857" max="14857" width="11.1328125" style="4" bestFit="1" customWidth="1"/>
    <col min="14858" max="14858" width="9.265625" style="4" bestFit="1" customWidth="1"/>
    <col min="14859" max="14859" width="7.265625" style="4" customWidth="1"/>
    <col min="14860" max="14860" width="11.1328125" style="4" bestFit="1" customWidth="1"/>
    <col min="14861" max="14861" width="8.73046875" style="4" customWidth="1"/>
    <col min="14862" max="14862" width="9" style="4" customWidth="1"/>
    <col min="14863" max="14863" width="11.1328125" style="4" bestFit="1" customWidth="1"/>
    <col min="14864" max="15104" width="9.1328125" style="4"/>
    <col min="15105" max="15105" width="9.3984375" style="4" bestFit="1" customWidth="1"/>
    <col min="15106" max="15106" width="10" style="4" bestFit="1" customWidth="1"/>
    <col min="15107" max="15107" width="9.1328125" style="4"/>
    <col min="15108" max="15108" width="12.1328125" style="4" bestFit="1" customWidth="1"/>
    <col min="15109" max="15109" width="9.59765625" style="4" customWidth="1"/>
    <col min="15110" max="15110" width="11.1328125" style="4" bestFit="1" customWidth="1"/>
    <col min="15111" max="15111" width="8.1328125" style="4" bestFit="1" customWidth="1"/>
    <col min="15112" max="15112" width="8" style="4" customWidth="1"/>
    <col min="15113" max="15113" width="11.1328125" style="4" bestFit="1" customWidth="1"/>
    <col min="15114" max="15114" width="9.265625" style="4" bestFit="1" customWidth="1"/>
    <col min="15115" max="15115" width="7.265625" style="4" customWidth="1"/>
    <col min="15116" max="15116" width="11.1328125" style="4" bestFit="1" customWidth="1"/>
    <col min="15117" max="15117" width="8.73046875" style="4" customWidth="1"/>
    <col min="15118" max="15118" width="9" style="4" customWidth="1"/>
    <col min="15119" max="15119" width="11.1328125" style="4" bestFit="1" customWidth="1"/>
    <col min="15120" max="15360" width="9.1328125" style="4"/>
    <col min="15361" max="15361" width="9.3984375" style="4" bestFit="1" customWidth="1"/>
    <col min="15362" max="15362" width="10" style="4" bestFit="1" customWidth="1"/>
    <col min="15363" max="15363" width="9.1328125" style="4"/>
    <col min="15364" max="15364" width="12.1328125" style="4" bestFit="1" customWidth="1"/>
    <col min="15365" max="15365" width="9.59765625" style="4" customWidth="1"/>
    <col min="15366" max="15366" width="11.1328125" style="4" bestFit="1" customWidth="1"/>
    <col min="15367" max="15367" width="8.1328125" style="4" bestFit="1" customWidth="1"/>
    <col min="15368" max="15368" width="8" style="4" customWidth="1"/>
    <col min="15369" max="15369" width="11.1328125" style="4" bestFit="1" customWidth="1"/>
    <col min="15370" max="15370" width="9.265625" style="4" bestFit="1" customWidth="1"/>
    <col min="15371" max="15371" width="7.265625" style="4" customWidth="1"/>
    <col min="15372" max="15372" width="11.1328125" style="4" bestFit="1" customWidth="1"/>
    <col min="15373" max="15373" width="8.73046875" style="4" customWidth="1"/>
    <col min="15374" max="15374" width="9" style="4" customWidth="1"/>
    <col min="15375" max="15375" width="11.1328125" style="4" bestFit="1" customWidth="1"/>
    <col min="15376" max="15616" width="9.1328125" style="4"/>
    <col min="15617" max="15617" width="9.3984375" style="4" bestFit="1" customWidth="1"/>
    <col min="15618" max="15618" width="10" style="4" bestFit="1" customWidth="1"/>
    <col min="15619" max="15619" width="9.1328125" style="4"/>
    <col min="15620" max="15620" width="12.1328125" style="4" bestFit="1" customWidth="1"/>
    <col min="15621" max="15621" width="9.59765625" style="4" customWidth="1"/>
    <col min="15622" max="15622" width="11.1328125" style="4" bestFit="1" customWidth="1"/>
    <col min="15623" max="15623" width="8.1328125" style="4" bestFit="1" customWidth="1"/>
    <col min="15624" max="15624" width="8" style="4" customWidth="1"/>
    <col min="15625" max="15625" width="11.1328125" style="4" bestFit="1" customWidth="1"/>
    <col min="15626" max="15626" width="9.265625" style="4" bestFit="1" customWidth="1"/>
    <col min="15627" max="15627" width="7.265625" style="4" customWidth="1"/>
    <col min="15628" max="15628" width="11.1328125" style="4" bestFit="1" customWidth="1"/>
    <col min="15629" max="15629" width="8.73046875" style="4" customWidth="1"/>
    <col min="15630" max="15630" width="9" style="4" customWidth="1"/>
    <col min="15631" max="15631" width="11.1328125" style="4" bestFit="1" customWidth="1"/>
    <col min="15632" max="15872" width="9.1328125" style="4"/>
    <col min="15873" max="15873" width="9.3984375" style="4" bestFit="1" customWidth="1"/>
    <col min="15874" max="15874" width="10" style="4" bestFit="1" customWidth="1"/>
    <col min="15875" max="15875" width="9.1328125" style="4"/>
    <col min="15876" max="15876" width="12.1328125" style="4" bestFit="1" customWidth="1"/>
    <col min="15877" max="15877" width="9.59765625" style="4" customWidth="1"/>
    <col min="15878" max="15878" width="11.1328125" style="4" bestFit="1" customWidth="1"/>
    <col min="15879" max="15879" width="8.1328125" style="4" bestFit="1" customWidth="1"/>
    <col min="15880" max="15880" width="8" style="4" customWidth="1"/>
    <col min="15881" max="15881" width="11.1328125" style="4" bestFit="1" customWidth="1"/>
    <col min="15882" max="15882" width="9.265625" style="4" bestFit="1" customWidth="1"/>
    <col min="15883" max="15883" width="7.265625" style="4" customWidth="1"/>
    <col min="15884" max="15884" width="11.1328125" style="4" bestFit="1" customWidth="1"/>
    <col min="15885" max="15885" width="8.73046875" style="4" customWidth="1"/>
    <col min="15886" max="15886" width="9" style="4" customWidth="1"/>
    <col min="15887" max="15887" width="11.1328125" style="4" bestFit="1" customWidth="1"/>
    <col min="15888" max="16128" width="9.1328125" style="4"/>
    <col min="16129" max="16129" width="9.3984375" style="4" bestFit="1" customWidth="1"/>
    <col min="16130" max="16130" width="10" style="4" bestFit="1" customWidth="1"/>
    <col min="16131" max="16131" width="9.1328125" style="4"/>
    <col min="16132" max="16132" width="12.1328125" style="4" bestFit="1" customWidth="1"/>
    <col min="16133" max="16133" width="9.59765625" style="4" customWidth="1"/>
    <col min="16134" max="16134" width="11.1328125" style="4" bestFit="1" customWidth="1"/>
    <col min="16135" max="16135" width="8.1328125" style="4" bestFit="1" customWidth="1"/>
    <col min="16136" max="16136" width="8" style="4" customWidth="1"/>
    <col min="16137" max="16137" width="11.1328125" style="4" bestFit="1" customWidth="1"/>
    <col min="16138" max="16138" width="9.265625" style="4" bestFit="1" customWidth="1"/>
    <col min="16139" max="16139" width="7.265625" style="4" customWidth="1"/>
    <col min="16140" max="16140" width="11.1328125" style="4" bestFit="1" customWidth="1"/>
    <col min="16141" max="16141" width="8.73046875" style="4" customWidth="1"/>
    <col min="16142" max="16142" width="9" style="4" customWidth="1"/>
    <col min="16143" max="16143" width="11.1328125" style="4" bestFit="1" customWidth="1"/>
    <col min="16144" max="16384" width="9.1328125" style="4"/>
  </cols>
  <sheetData>
    <row r="1" spans="1:15">
      <c r="A1" s="110" t="s">
        <v>36</v>
      </c>
      <c r="B1" s="110"/>
      <c r="C1" s="110"/>
      <c r="D1" s="111" t="s">
        <v>37</v>
      </c>
      <c r="E1" s="111"/>
      <c r="F1" s="111"/>
      <c r="G1" s="112" t="s">
        <v>38</v>
      </c>
      <c r="H1" s="112"/>
      <c r="I1" s="112"/>
      <c r="J1" s="113" t="s">
        <v>39</v>
      </c>
      <c r="K1" s="113"/>
      <c r="L1" s="113"/>
      <c r="M1" s="114" t="s">
        <v>40</v>
      </c>
      <c r="N1" s="114"/>
      <c r="O1" s="114"/>
    </row>
    <row r="2" spans="1:15">
      <c r="A2" s="4" t="s">
        <v>386</v>
      </c>
      <c r="B2" s="28">
        <v>1</v>
      </c>
      <c r="C2" s="4" t="s">
        <v>439</v>
      </c>
      <c r="D2" s="4" t="s">
        <v>41</v>
      </c>
      <c r="E2" s="29">
        <v>6</v>
      </c>
      <c r="F2" s="30" t="s">
        <v>42</v>
      </c>
      <c r="G2" s="4" t="s">
        <v>43</v>
      </c>
      <c r="H2" s="28">
        <v>2.5</v>
      </c>
      <c r="I2" s="4" t="s">
        <v>44</v>
      </c>
      <c r="J2" s="4" t="s">
        <v>45</v>
      </c>
      <c r="K2" s="28">
        <v>2.5</v>
      </c>
      <c r="L2" s="4" t="s">
        <v>44</v>
      </c>
      <c r="M2" s="4" t="s">
        <v>46</v>
      </c>
      <c r="N2" s="28">
        <v>2.5</v>
      </c>
      <c r="O2" s="4" t="s">
        <v>44</v>
      </c>
    </row>
    <row r="3" spans="1:15">
      <c r="A3" s="31" t="s">
        <v>47</v>
      </c>
      <c r="B3" s="28">
        <v>0</v>
      </c>
      <c r="C3" s="4" t="s">
        <v>441</v>
      </c>
      <c r="D3" s="4" t="s">
        <v>48</v>
      </c>
      <c r="E3" s="29">
        <v>20</v>
      </c>
      <c r="F3" s="30" t="s">
        <v>42</v>
      </c>
      <c r="G3" s="30" t="s">
        <v>49</v>
      </c>
      <c r="H3" s="29">
        <v>25</v>
      </c>
      <c r="I3" s="30" t="s">
        <v>42</v>
      </c>
      <c r="J3" s="30" t="s">
        <v>50</v>
      </c>
      <c r="K3" s="29">
        <v>25</v>
      </c>
      <c r="L3" s="30" t="s">
        <v>42</v>
      </c>
      <c r="M3" s="30" t="s">
        <v>51</v>
      </c>
      <c r="N3" s="29">
        <v>25</v>
      </c>
      <c r="O3" s="30" t="s">
        <v>42</v>
      </c>
    </row>
    <row r="4" spans="1:15">
      <c r="A4" s="32" t="s">
        <v>57</v>
      </c>
      <c r="B4" s="28">
        <v>1</v>
      </c>
      <c r="C4" s="4" t="s">
        <v>443</v>
      </c>
      <c r="D4" s="4" t="s">
        <v>52</v>
      </c>
      <c r="E4" s="33">
        <f>SUM(d_ED_res_c,d_ED_res_a)</f>
        <v>26</v>
      </c>
      <c r="F4" s="30" t="s">
        <v>42</v>
      </c>
      <c r="G4" s="30" t="s">
        <v>53</v>
      </c>
      <c r="H4" s="29">
        <v>250</v>
      </c>
      <c r="I4" s="30" t="s">
        <v>54</v>
      </c>
      <c r="J4" s="30" t="s">
        <v>55</v>
      </c>
      <c r="K4" s="29">
        <v>225</v>
      </c>
      <c r="L4" s="30" t="s">
        <v>54</v>
      </c>
      <c r="M4" s="30" t="s">
        <v>56</v>
      </c>
      <c r="N4" s="29">
        <v>250</v>
      </c>
      <c r="O4" s="30" t="s">
        <v>54</v>
      </c>
    </row>
    <row r="5" spans="1:15">
      <c r="A5" s="32" t="s">
        <v>64</v>
      </c>
      <c r="B5" s="28">
        <v>1</v>
      </c>
      <c r="C5" s="4" t="s">
        <v>443</v>
      </c>
      <c r="D5" s="34" t="s">
        <v>58</v>
      </c>
      <c r="E5" s="29">
        <v>350</v>
      </c>
      <c r="F5" s="30" t="s">
        <v>59</v>
      </c>
      <c r="G5" s="30" t="s">
        <v>60</v>
      </c>
      <c r="H5" s="29">
        <v>8</v>
      </c>
      <c r="I5" s="30" t="s">
        <v>61</v>
      </c>
      <c r="J5" s="30" t="s">
        <v>62</v>
      </c>
      <c r="K5" s="29">
        <v>8</v>
      </c>
      <c r="L5" s="30" t="s">
        <v>61</v>
      </c>
      <c r="M5" s="30" t="s">
        <v>63</v>
      </c>
      <c r="N5" s="29">
        <v>8</v>
      </c>
      <c r="O5" s="30" t="s">
        <v>61</v>
      </c>
    </row>
    <row r="6" spans="1:15">
      <c r="A6" s="32" t="s">
        <v>69</v>
      </c>
      <c r="B6" s="28">
        <v>0.5</v>
      </c>
      <c r="C6" s="4" t="s">
        <v>443</v>
      </c>
      <c r="D6" s="34" t="s">
        <v>65</v>
      </c>
      <c r="E6" s="29">
        <v>350</v>
      </c>
      <c r="F6" s="30" t="s">
        <v>59</v>
      </c>
      <c r="G6" s="4" t="s">
        <v>66</v>
      </c>
      <c r="H6" s="28">
        <v>2.5</v>
      </c>
      <c r="I6" s="4" t="s">
        <v>44</v>
      </c>
      <c r="J6" s="4" t="s">
        <v>67</v>
      </c>
      <c r="K6" s="28">
        <v>2.5</v>
      </c>
      <c r="L6" s="4" t="s">
        <v>44</v>
      </c>
      <c r="M6" s="4" t="s">
        <v>68</v>
      </c>
      <c r="N6" s="28">
        <v>2.5</v>
      </c>
      <c r="O6" s="4" t="s">
        <v>44</v>
      </c>
    </row>
    <row r="7" spans="1:15">
      <c r="A7" s="32" t="s">
        <v>75</v>
      </c>
      <c r="B7" s="28">
        <v>0.5</v>
      </c>
      <c r="C7" s="4" t="s">
        <v>443</v>
      </c>
      <c r="D7" s="35" t="s">
        <v>70</v>
      </c>
      <c r="E7" s="29">
        <v>350</v>
      </c>
      <c r="F7" s="30" t="s">
        <v>59</v>
      </c>
      <c r="G7" s="4" t="s">
        <v>71</v>
      </c>
      <c r="H7" s="28">
        <v>49</v>
      </c>
      <c r="I7" s="4" t="s">
        <v>72</v>
      </c>
      <c r="J7" s="4" t="s">
        <v>73</v>
      </c>
      <c r="K7" s="28">
        <v>49</v>
      </c>
      <c r="L7" s="4" t="s">
        <v>72</v>
      </c>
      <c r="M7" s="4" t="s">
        <v>74</v>
      </c>
      <c r="N7" s="28">
        <v>49</v>
      </c>
      <c r="O7" s="4" t="s">
        <v>72</v>
      </c>
    </row>
    <row r="8" spans="1:15">
      <c r="A8" s="32" t="s">
        <v>81</v>
      </c>
      <c r="B8" s="28">
        <v>1</v>
      </c>
      <c r="C8" s="4" t="s">
        <v>443</v>
      </c>
      <c r="D8" s="4" t="s">
        <v>76</v>
      </c>
      <c r="E8" s="28">
        <v>2</v>
      </c>
      <c r="F8" s="4" t="s">
        <v>77</v>
      </c>
      <c r="G8" s="4" t="s">
        <v>78</v>
      </c>
      <c r="H8" s="28">
        <v>2</v>
      </c>
      <c r="I8" s="4" t="s">
        <v>77</v>
      </c>
      <c r="J8" s="4" t="s">
        <v>79</v>
      </c>
      <c r="K8" s="28">
        <v>2</v>
      </c>
      <c r="L8" s="4" t="s">
        <v>77</v>
      </c>
      <c r="M8" s="4" t="s">
        <v>80</v>
      </c>
      <c r="N8" s="28">
        <v>3</v>
      </c>
      <c r="O8" s="4" t="s">
        <v>77</v>
      </c>
    </row>
    <row r="9" spans="1:15">
      <c r="A9" s="32" t="s">
        <v>86</v>
      </c>
      <c r="B9" s="28">
        <v>0.4</v>
      </c>
      <c r="C9" s="4" t="s">
        <v>443</v>
      </c>
      <c r="D9" s="4" t="s">
        <v>82</v>
      </c>
      <c r="E9" s="28">
        <v>10</v>
      </c>
      <c r="F9" s="4" t="s">
        <v>77</v>
      </c>
      <c r="G9" s="4" t="s">
        <v>83</v>
      </c>
      <c r="H9" s="37">
        <v>1</v>
      </c>
      <c r="J9" s="4" t="s">
        <v>84</v>
      </c>
      <c r="K9" s="37">
        <v>1</v>
      </c>
      <c r="M9" s="4" t="s">
        <v>85</v>
      </c>
      <c r="N9" s="37">
        <v>1</v>
      </c>
    </row>
    <row r="10" spans="1:15">
      <c r="A10" s="32" t="s">
        <v>89</v>
      </c>
      <c r="B10" s="6">
        <v>667000000</v>
      </c>
      <c r="C10" s="4" t="s">
        <v>449</v>
      </c>
      <c r="D10" s="4" t="s">
        <v>87</v>
      </c>
      <c r="E10" s="29">
        <v>10</v>
      </c>
      <c r="F10" s="30" t="s">
        <v>88</v>
      </c>
      <c r="G10" s="4" t="s">
        <v>249</v>
      </c>
      <c r="H10" s="2">
        <f>(d_FTSS_h*d_ET_w*d_SE*d_SA_w*d_FQ_w)</f>
        <v>196</v>
      </c>
      <c r="J10" s="4" t="s">
        <v>248</v>
      </c>
      <c r="K10" s="2">
        <f>(d_FTSS_h*d_ET_ow*d_SE*d_SA_ow*d_FQ_ow)</f>
        <v>196</v>
      </c>
      <c r="M10" s="4" t="s">
        <v>231</v>
      </c>
      <c r="N10" s="2">
        <f>(d_FTSS_h*d_ET_iw*d_SE*d_SA_iw*d_FQ_iw)</f>
        <v>294</v>
      </c>
    </row>
    <row r="11" spans="1:15">
      <c r="D11" s="4" t="s">
        <v>90</v>
      </c>
      <c r="E11" s="29">
        <v>20</v>
      </c>
      <c r="F11" s="30" t="s">
        <v>88</v>
      </c>
    </row>
    <row r="12" spans="1:15">
      <c r="D12" s="34" t="s">
        <v>91</v>
      </c>
      <c r="E12" s="28">
        <v>4</v>
      </c>
      <c r="F12" s="4" t="s">
        <v>92</v>
      </c>
    </row>
    <row r="13" spans="1:15">
      <c r="D13" s="34" t="s">
        <v>93</v>
      </c>
      <c r="E13" s="28">
        <v>4</v>
      </c>
      <c r="F13" s="4" t="s">
        <v>92</v>
      </c>
    </row>
    <row r="14" spans="1:15">
      <c r="D14" s="4" t="s">
        <v>94</v>
      </c>
      <c r="E14" s="28">
        <v>1.752</v>
      </c>
      <c r="F14" s="4" t="s">
        <v>92</v>
      </c>
    </row>
    <row r="15" spans="1:15">
      <c r="D15" s="4" t="s">
        <v>95</v>
      </c>
      <c r="E15" s="28">
        <v>16.399999999999999</v>
      </c>
      <c r="F15" s="4" t="s">
        <v>92</v>
      </c>
    </row>
    <row r="16" spans="1:15">
      <c r="D16" s="4" t="s">
        <v>96</v>
      </c>
      <c r="E16" s="28">
        <v>49</v>
      </c>
      <c r="F16" s="4" t="s">
        <v>72</v>
      </c>
    </row>
    <row r="17" spans="4:6">
      <c r="D17" s="4" t="s">
        <v>97</v>
      </c>
      <c r="E17" s="28">
        <v>16</v>
      </c>
      <c r="F17" s="4" t="s">
        <v>72</v>
      </c>
    </row>
    <row r="18" spans="4:6">
      <c r="D18" s="4" t="s">
        <v>387</v>
      </c>
      <c r="E18" s="38">
        <f>d_ED_res_c/d_ED_res</f>
        <v>0.23076923076923078</v>
      </c>
    </row>
    <row r="19" spans="4:6">
      <c r="D19" s="4" t="s">
        <v>388</v>
      </c>
      <c r="E19" s="38">
        <f>d_ED_res_a/d_ED_res</f>
        <v>0.76923076923076927</v>
      </c>
    </row>
    <row r="20" spans="4:6">
      <c r="D20" s="4" t="s">
        <v>98</v>
      </c>
      <c r="E20" s="2">
        <v>1</v>
      </c>
    </row>
    <row r="21" spans="4:6">
      <c r="D21" s="4" t="s">
        <v>99</v>
      </c>
      <c r="E21" s="2">
        <f>((d_FTSS_h*d_ET_res_c_h*d_EF_res_c*d_SE*d_AAFres_c*d_SA_res_c*d_FQ_res_c)+(d_FTSS_h*d_ET_res_a_h*d_EF_res_a*d_SE*d_AAFres_a*d_SA_res_a*d_FQ_res_a))</f>
        <v>39307.692307692305</v>
      </c>
    </row>
    <row r="22" spans="4:6">
      <c r="D22" s="4" t="s">
        <v>100</v>
      </c>
      <c r="E22" s="2">
        <f>((d_IRA_res_c*d_EF_res_c*d_AAFres_c)+(d_IRA_res_a*d_EF_res_a*d_AAFres_a))</f>
        <v>6192.3076923076924</v>
      </c>
    </row>
    <row r="23" spans="4:6">
      <c r="E23" s="28"/>
    </row>
    <row r="24" spans="4:6">
      <c r="E24" s="28"/>
    </row>
  </sheetData>
  <sheetProtection algorithmName="SHA-512" hashValue="LSjEfheBVXO+bVgodU516X3TbeIa+j+rNl64TxnzTj4EHkB5BJF8ZGjSgcZd0DpNvWVui7i05HtvhSu2Y6g8UQ==" saltValue="n9FoyNgLXAszemWoA9EAYQ==" spinCount="100000" sheet="1" objects="1" scenarios="1"/>
  <mergeCells count="5">
    <mergeCell ref="A1:C1"/>
    <mergeCell ref="D1:F1"/>
    <mergeCell ref="G1:I1"/>
    <mergeCell ref="J1:L1"/>
    <mergeCell ref="M1:O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sheetPr>
  <dimension ref="A1:R76"/>
  <sheetViews>
    <sheetView workbookViewId="0">
      <pane xSplit="2" ySplit="1" topLeftCell="C2" activePane="bottomRight" state="frozen"/>
      <selection activeCell="I6" sqref="I6"/>
      <selection pane="topRight" activeCell="I6" sqref="I6"/>
      <selection pane="bottomLeft" activeCell="I6" sqref="I6"/>
      <selection pane="bottomRight" activeCell="C2" sqref="C2"/>
    </sheetView>
  </sheetViews>
  <sheetFormatPr defaultRowHeight="14.25"/>
  <cols>
    <col min="1" max="1" width="12.59765625" style="77" bestFit="1" customWidth="1"/>
    <col min="2" max="2" width="12" style="77" bestFit="1" customWidth="1"/>
    <col min="3" max="3" width="14.59765625" style="77" bestFit="1" customWidth="1"/>
    <col min="4" max="4" width="17.59765625" style="77" bestFit="1" customWidth="1"/>
    <col min="5" max="5" width="17.3984375" style="77" bestFit="1" customWidth="1"/>
    <col min="6" max="6" width="14.73046875" style="77" bestFit="1" customWidth="1"/>
    <col min="7" max="7" width="16.1328125" style="77" bestFit="1" customWidth="1"/>
    <col min="8" max="8" width="16.265625" style="77" bestFit="1" customWidth="1"/>
    <col min="9" max="9" width="12.1328125" style="77" bestFit="1" customWidth="1"/>
    <col min="10" max="11" width="13.86328125" style="77" bestFit="1" customWidth="1"/>
    <col min="12" max="12" width="14.86328125" style="77" bestFit="1" customWidth="1"/>
    <col min="13" max="13" width="12.3984375" style="77" bestFit="1" customWidth="1"/>
    <col min="14" max="14" width="12.1328125" style="77" bestFit="1" customWidth="1"/>
    <col min="15" max="16" width="13.86328125" style="77" bestFit="1" customWidth="1"/>
    <col min="17" max="17" width="14.86328125" style="77" bestFit="1" customWidth="1"/>
    <col min="18" max="18" width="12.3984375" style="77" bestFit="1" customWidth="1"/>
    <col min="19" max="248" width="9.1328125" style="77"/>
    <col min="249" max="249" width="15.3984375" style="77" bestFit="1" customWidth="1"/>
    <col min="250" max="250" width="11.1328125" style="77" bestFit="1" customWidth="1"/>
    <col min="251" max="251" width="14.59765625" style="77" bestFit="1" customWidth="1"/>
    <col min="252" max="252" width="17.3984375" style="77" bestFit="1" customWidth="1"/>
    <col min="253" max="253" width="17.59765625" style="77" bestFit="1" customWidth="1"/>
    <col min="254" max="254" width="14.73046875" style="77" bestFit="1" customWidth="1"/>
    <col min="255" max="255" width="14.3984375" style="77" bestFit="1" customWidth="1"/>
    <col min="256" max="256" width="12.1328125" style="77" bestFit="1" customWidth="1"/>
    <col min="257" max="257" width="12.3984375" style="77" bestFit="1" customWidth="1"/>
    <col min="258" max="259" width="13.86328125" style="77" bestFit="1" customWidth="1"/>
    <col min="260" max="260" width="14.86328125" style="77" bestFit="1" customWidth="1"/>
    <col min="261" max="261" width="12.1328125" style="77" bestFit="1" customWidth="1"/>
    <col min="262" max="262" width="12.3984375" style="77" bestFit="1" customWidth="1"/>
    <col min="263" max="264" width="13.86328125" style="77" bestFit="1" customWidth="1"/>
    <col min="265" max="265" width="14.86328125" style="77" bestFit="1" customWidth="1"/>
    <col min="266" max="504" width="9.1328125" style="77"/>
    <col min="505" max="505" width="15.3984375" style="77" bestFit="1" customWidth="1"/>
    <col min="506" max="506" width="11.1328125" style="77" bestFit="1" customWidth="1"/>
    <col min="507" max="507" width="14.59765625" style="77" bestFit="1" customWidth="1"/>
    <col min="508" max="508" width="17.3984375" style="77" bestFit="1" customWidth="1"/>
    <col min="509" max="509" width="17.59765625" style="77" bestFit="1" customWidth="1"/>
    <col min="510" max="510" width="14.73046875" style="77" bestFit="1" customWidth="1"/>
    <col min="511" max="511" width="14.3984375" style="77" bestFit="1" customWidth="1"/>
    <col min="512" max="512" width="12.1328125" style="77" bestFit="1" customWidth="1"/>
    <col min="513" max="513" width="12.3984375" style="77" bestFit="1" customWidth="1"/>
    <col min="514" max="515" width="13.86328125" style="77" bestFit="1" customWidth="1"/>
    <col min="516" max="516" width="14.86328125" style="77" bestFit="1" customWidth="1"/>
    <col min="517" max="517" width="12.1328125" style="77" bestFit="1" customWidth="1"/>
    <col min="518" max="518" width="12.3984375" style="77" bestFit="1" customWidth="1"/>
    <col min="519" max="520" width="13.86328125" style="77" bestFit="1" customWidth="1"/>
    <col min="521" max="521" width="14.86328125" style="77" bestFit="1" customWidth="1"/>
    <col min="522" max="760" width="9.1328125" style="77"/>
    <col min="761" max="761" width="15.3984375" style="77" bestFit="1" customWidth="1"/>
    <col min="762" max="762" width="11.1328125" style="77" bestFit="1" customWidth="1"/>
    <col min="763" max="763" width="14.59765625" style="77" bestFit="1" customWidth="1"/>
    <col min="764" max="764" width="17.3984375" style="77" bestFit="1" customWidth="1"/>
    <col min="765" max="765" width="17.59765625" style="77" bestFit="1" customWidth="1"/>
    <col min="766" max="766" width="14.73046875" style="77" bestFit="1" customWidth="1"/>
    <col min="767" max="767" width="14.3984375" style="77" bestFit="1" customWidth="1"/>
    <col min="768" max="768" width="12.1328125" style="77" bestFit="1" customWidth="1"/>
    <col min="769" max="769" width="12.3984375" style="77" bestFit="1" customWidth="1"/>
    <col min="770" max="771" width="13.86328125" style="77" bestFit="1" customWidth="1"/>
    <col min="772" max="772" width="14.86328125" style="77" bestFit="1" customWidth="1"/>
    <col min="773" max="773" width="12.1328125" style="77" bestFit="1" customWidth="1"/>
    <col min="774" max="774" width="12.3984375" style="77" bestFit="1" customWidth="1"/>
    <col min="775" max="776" width="13.86328125" style="77" bestFit="1" customWidth="1"/>
    <col min="777" max="777" width="14.86328125" style="77" bestFit="1" customWidth="1"/>
    <col min="778" max="1016" width="9.1328125" style="77"/>
    <col min="1017" max="1017" width="15.3984375" style="77" bestFit="1" customWidth="1"/>
    <col min="1018" max="1018" width="11.1328125" style="77" bestFit="1" customWidth="1"/>
    <col min="1019" max="1019" width="14.59765625" style="77" bestFit="1" customWidth="1"/>
    <col min="1020" max="1020" width="17.3984375" style="77" bestFit="1" customWidth="1"/>
    <col min="1021" max="1021" width="17.59765625" style="77" bestFit="1" customWidth="1"/>
    <col min="1022" max="1022" width="14.73046875" style="77" bestFit="1" customWidth="1"/>
    <col min="1023" max="1023" width="14.3984375" style="77" bestFit="1" customWidth="1"/>
    <col min="1024" max="1024" width="12.1328125" style="77" bestFit="1" customWidth="1"/>
    <col min="1025" max="1025" width="12.3984375" style="77" bestFit="1" customWidth="1"/>
    <col min="1026" max="1027" width="13.86328125" style="77" bestFit="1" customWidth="1"/>
    <col min="1028" max="1028" width="14.86328125" style="77" bestFit="1" customWidth="1"/>
    <col min="1029" max="1029" width="12.1328125" style="77" bestFit="1" customWidth="1"/>
    <col min="1030" max="1030" width="12.3984375" style="77" bestFit="1" customWidth="1"/>
    <col min="1031" max="1032" width="13.86328125" style="77" bestFit="1" customWidth="1"/>
    <col min="1033" max="1033" width="14.86328125" style="77" bestFit="1" customWidth="1"/>
    <col min="1034" max="1272" width="9.1328125" style="77"/>
    <col min="1273" max="1273" width="15.3984375" style="77" bestFit="1" customWidth="1"/>
    <col min="1274" max="1274" width="11.1328125" style="77" bestFit="1" customWidth="1"/>
    <col min="1275" max="1275" width="14.59765625" style="77" bestFit="1" customWidth="1"/>
    <col min="1276" max="1276" width="17.3984375" style="77" bestFit="1" customWidth="1"/>
    <col min="1277" max="1277" width="17.59765625" style="77" bestFit="1" customWidth="1"/>
    <col min="1278" max="1278" width="14.73046875" style="77" bestFit="1" customWidth="1"/>
    <col min="1279" max="1279" width="14.3984375" style="77" bestFit="1" customWidth="1"/>
    <col min="1280" max="1280" width="12.1328125" style="77" bestFit="1" customWidth="1"/>
    <col min="1281" max="1281" width="12.3984375" style="77" bestFit="1" customWidth="1"/>
    <col min="1282" max="1283" width="13.86328125" style="77" bestFit="1" customWidth="1"/>
    <col min="1284" max="1284" width="14.86328125" style="77" bestFit="1" customWidth="1"/>
    <col min="1285" max="1285" width="12.1328125" style="77" bestFit="1" customWidth="1"/>
    <col min="1286" max="1286" width="12.3984375" style="77" bestFit="1" customWidth="1"/>
    <col min="1287" max="1288" width="13.86328125" style="77" bestFit="1" customWidth="1"/>
    <col min="1289" max="1289" width="14.86328125" style="77" bestFit="1" customWidth="1"/>
    <col min="1290" max="1528" width="9.1328125" style="77"/>
    <col min="1529" max="1529" width="15.3984375" style="77" bestFit="1" customWidth="1"/>
    <col min="1530" max="1530" width="11.1328125" style="77" bestFit="1" customWidth="1"/>
    <col min="1531" max="1531" width="14.59765625" style="77" bestFit="1" customWidth="1"/>
    <col min="1532" max="1532" width="17.3984375" style="77" bestFit="1" customWidth="1"/>
    <col min="1533" max="1533" width="17.59765625" style="77" bestFit="1" customWidth="1"/>
    <col min="1534" max="1534" width="14.73046875" style="77" bestFit="1" customWidth="1"/>
    <col min="1535" max="1535" width="14.3984375" style="77" bestFit="1" customWidth="1"/>
    <col min="1536" max="1536" width="12.1328125" style="77" bestFit="1" customWidth="1"/>
    <col min="1537" max="1537" width="12.3984375" style="77" bestFit="1" customWidth="1"/>
    <col min="1538" max="1539" width="13.86328125" style="77" bestFit="1" customWidth="1"/>
    <col min="1540" max="1540" width="14.86328125" style="77" bestFit="1" customWidth="1"/>
    <col min="1541" max="1541" width="12.1328125" style="77" bestFit="1" customWidth="1"/>
    <col min="1542" max="1542" width="12.3984375" style="77" bestFit="1" customWidth="1"/>
    <col min="1543" max="1544" width="13.86328125" style="77" bestFit="1" customWidth="1"/>
    <col min="1545" max="1545" width="14.86328125" style="77" bestFit="1" customWidth="1"/>
    <col min="1546" max="1784" width="9.1328125" style="77"/>
    <col min="1785" max="1785" width="15.3984375" style="77" bestFit="1" customWidth="1"/>
    <col min="1786" max="1786" width="11.1328125" style="77" bestFit="1" customWidth="1"/>
    <col min="1787" max="1787" width="14.59765625" style="77" bestFit="1" customWidth="1"/>
    <col min="1788" max="1788" width="17.3984375" style="77" bestFit="1" customWidth="1"/>
    <col min="1789" max="1789" width="17.59765625" style="77" bestFit="1" customWidth="1"/>
    <col min="1790" max="1790" width="14.73046875" style="77" bestFit="1" customWidth="1"/>
    <col min="1791" max="1791" width="14.3984375" style="77" bestFit="1" customWidth="1"/>
    <col min="1792" max="1792" width="12.1328125" style="77" bestFit="1" customWidth="1"/>
    <col min="1793" max="1793" width="12.3984375" style="77" bestFit="1" customWidth="1"/>
    <col min="1794" max="1795" width="13.86328125" style="77" bestFit="1" customWidth="1"/>
    <col min="1796" max="1796" width="14.86328125" style="77" bestFit="1" customWidth="1"/>
    <col min="1797" max="1797" width="12.1328125" style="77" bestFit="1" customWidth="1"/>
    <col min="1798" max="1798" width="12.3984375" style="77" bestFit="1" customWidth="1"/>
    <col min="1799" max="1800" width="13.86328125" style="77" bestFit="1" customWidth="1"/>
    <col min="1801" max="1801" width="14.86328125" style="77" bestFit="1" customWidth="1"/>
    <col min="1802" max="2040" width="9.1328125" style="77"/>
    <col min="2041" max="2041" width="15.3984375" style="77" bestFit="1" customWidth="1"/>
    <col min="2042" max="2042" width="11.1328125" style="77" bestFit="1" customWidth="1"/>
    <col min="2043" max="2043" width="14.59765625" style="77" bestFit="1" customWidth="1"/>
    <col min="2044" max="2044" width="17.3984375" style="77" bestFit="1" customWidth="1"/>
    <col min="2045" max="2045" width="17.59765625" style="77" bestFit="1" customWidth="1"/>
    <col min="2046" max="2046" width="14.73046875" style="77" bestFit="1" customWidth="1"/>
    <col min="2047" max="2047" width="14.3984375" style="77" bestFit="1" customWidth="1"/>
    <col min="2048" max="2048" width="12.1328125" style="77" bestFit="1" customWidth="1"/>
    <col min="2049" max="2049" width="12.3984375" style="77" bestFit="1" customWidth="1"/>
    <col min="2050" max="2051" width="13.86328125" style="77" bestFit="1" customWidth="1"/>
    <col min="2052" max="2052" width="14.86328125" style="77" bestFit="1" customWidth="1"/>
    <col min="2053" max="2053" width="12.1328125" style="77" bestFit="1" customWidth="1"/>
    <col min="2054" max="2054" width="12.3984375" style="77" bestFit="1" customWidth="1"/>
    <col min="2055" max="2056" width="13.86328125" style="77" bestFit="1" customWidth="1"/>
    <col min="2057" max="2057" width="14.86328125" style="77" bestFit="1" customWidth="1"/>
    <col min="2058" max="2296" width="9.1328125" style="77"/>
    <col min="2297" max="2297" width="15.3984375" style="77" bestFit="1" customWidth="1"/>
    <col min="2298" max="2298" width="11.1328125" style="77" bestFit="1" customWidth="1"/>
    <col min="2299" max="2299" width="14.59765625" style="77" bestFit="1" customWidth="1"/>
    <col min="2300" max="2300" width="17.3984375" style="77" bestFit="1" customWidth="1"/>
    <col min="2301" max="2301" width="17.59765625" style="77" bestFit="1" customWidth="1"/>
    <col min="2302" max="2302" width="14.73046875" style="77" bestFit="1" customWidth="1"/>
    <col min="2303" max="2303" width="14.3984375" style="77" bestFit="1" customWidth="1"/>
    <col min="2304" max="2304" width="12.1328125" style="77" bestFit="1" customWidth="1"/>
    <col min="2305" max="2305" width="12.3984375" style="77" bestFit="1" customWidth="1"/>
    <col min="2306" max="2307" width="13.86328125" style="77" bestFit="1" customWidth="1"/>
    <col min="2308" max="2308" width="14.86328125" style="77" bestFit="1" customWidth="1"/>
    <col min="2309" max="2309" width="12.1328125" style="77" bestFit="1" customWidth="1"/>
    <col min="2310" max="2310" width="12.3984375" style="77" bestFit="1" customWidth="1"/>
    <col min="2311" max="2312" width="13.86328125" style="77" bestFit="1" customWidth="1"/>
    <col min="2313" max="2313" width="14.86328125" style="77" bestFit="1" customWidth="1"/>
    <col min="2314" max="2552" width="9.1328125" style="77"/>
    <col min="2553" max="2553" width="15.3984375" style="77" bestFit="1" customWidth="1"/>
    <col min="2554" max="2554" width="11.1328125" style="77" bestFit="1" customWidth="1"/>
    <col min="2555" max="2555" width="14.59765625" style="77" bestFit="1" customWidth="1"/>
    <col min="2556" max="2556" width="17.3984375" style="77" bestFit="1" customWidth="1"/>
    <col min="2557" max="2557" width="17.59765625" style="77" bestFit="1" customWidth="1"/>
    <col min="2558" max="2558" width="14.73046875" style="77" bestFit="1" customWidth="1"/>
    <col min="2559" max="2559" width="14.3984375" style="77" bestFit="1" customWidth="1"/>
    <col min="2560" max="2560" width="12.1328125" style="77" bestFit="1" customWidth="1"/>
    <col min="2561" max="2561" width="12.3984375" style="77" bestFit="1" customWidth="1"/>
    <col min="2562" max="2563" width="13.86328125" style="77" bestFit="1" customWidth="1"/>
    <col min="2564" max="2564" width="14.86328125" style="77" bestFit="1" customWidth="1"/>
    <col min="2565" max="2565" width="12.1328125" style="77" bestFit="1" customWidth="1"/>
    <col min="2566" max="2566" width="12.3984375" style="77" bestFit="1" customWidth="1"/>
    <col min="2567" max="2568" width="13.86328125" style="77" bestFit="1" customWidth="1"/>
    <col min="2569" max="2569" width="14.86328125" style="77" bestFit="1" customWidth="1"/>
    <col min="2570" max="2808" width="9.1328125" style="77"/>
    <col min="2809" max="2809" width="15.3984375" style="77" bestFit="1" customWidth="1"/>
    <col min="2810" max="2810" width="11.1328125" style="77" bestFit="1" customWidth="1"/>
    <col min="2811" max="2811" width="14.59765625" style="77" bestFit="1" customWidth="1"/>
    <col min="2812" max="2812" width="17.3984375" style="77" bestFit="1" customWidth="1"/>
    <col min="2813" max="2813" width="17.59765625" style="77" bestFit="1" customWidth="1"/>
    <col min="2814" max="2814" width="14.73046875" style="77" bestFit="1" customWidth="1"/>
    <col min="2815" max="2815" width="14.3984375" style="77" bestFit="1" customWidth="1"/>
    <col min="2816" max="2816" width="12.1328125" style="77" bestFit="1" customWidth="1"/>
    <col min="2817" max="2817" width="12.3984375" style="77" bestFit="1" customWidth="1"/>
    <col min="2818" max="2819" width="13.86328125" style="77" bestFit="1" customWidth="1"/>
    <col min="2820" max="2820" width="14.86328125" style="77" bestFit="1" customWidth="1"/>
    <col min="2821" max="2821" width="12.1328125" style="77" bestFit="1" customWidth="1"/>
    <col min="2822" max="2822" width="12.3984375" style="77" bestFit="1" customWidth="1"/>
    <col min="2823" max="2824" width="13.86328125" style="77" bestFit="1" customWidth="1"/>
    <col min="2825" max="2825" width="14.86328125" style="77" bestFit="1" customWidth="1"/>
    <col min="2826" max="3064" width="9.1328125" style="77"/>
    <col min="3065" max="3065" width="15.3984375" style="77" bestFit="1" customWidth="1"/>
    <col min="3066" max="3066" width="11.1328125" style="77" bestFit="1" customWidth="1"/>
    <col min="3067" max="3067" width="14.59765625" style="77" bestFit="1" customWidth="1"/>
    <col min="3068" max="3068" width="17.3984375" style="77" bestFit="1" customWidth="1"/>
    <col min="3069" max="3069" width="17.59765625" style="77" bestFit="1" customWidth="1"/>
    <col min="3070" max="3070" width="14.73046875" style="77" bestFit="1" customWidth="1"/>
    <col min="3071" max="3071" width="14.3984375" style="77" bestFit="1" customWidth="1"/>
    <col min="3072" max="3072" width="12.1328125" style="77" bestFit="1" customWidth="1"/>
    <col min="3073" max="3073" width="12.3984375" style="77" bestFit="1" customWidth="1"/>
    <col min="3074" max="3075" width="13.86328125" style="77" bestFit="1" customWidth="1"/>
    <col min="3076" max="3076" width="14.86328125" style="77" bestFit="1" customWidth="1"/>
    <col min="3077" max="3077" width="12.1328125" style="77" bestFit="1" customWidth="1"/>
    <col min="3078" max="3078" width="12.3984375" style="77" bestFit="1" customWidth="1"/>
    <col min="3079" max="3080" width="13.86328125" style="77" bestFit="1" customWidth="1"/>
    <col min="3081" max="3081" width="14.86328125" style="77" bestFit="1" customWidth="1"/>
    <col min="3082" max="3320" width="9.1328125" style="77"/>
    <col min="3321" max="3321" width="15.3984375" style="77" bestFit="1" customWidth="1"/>
    <col min="3322" max="3322" width="11.1328125" style="77" bestFit="1" customWidth="1"/>
    <col min="3323" max="3323" width="14.59765625" style="77" bestFit="1" customWidth="1"/>
    <col min="3324" max="3324" width="17.3984375" style="77" bestFit="1" customWidth="1"/>
    <col min="3325" max="3325" width="17.59765625" style="77" bestFit="1" customWidth="1"/>
    <col min="3326" max="3326" width="14.73046875" style="77" bestFit="1" customWidth="1"/>
    <col min="3327" max="3327" width="14.3984375" style="77" bestFit="1" customWidth="1"/>
    <col min="3328" max="3328" width="12.1328125" style="77" bestFit="1" customWidth="1"/>
    <col min="3329" max="3329" width="12.3984375" style="77" bestFit="1" customWidth="1"/>
    <col min="3330" max="3331" width="13.86328125" style="77" bestFit="1" customWidth="1"/>
    <col min="3332" max="3332" width="14.86328125" style="77" bestFit="1" customWidth="1"/>
    <col min="3333" max="3333" width="12.1328125" style="77" bestFit="1" customWidth="1"/>
    <col min="3334" max="3334" width="12.3984375" style="77" bestFit="1" customWidth="1"/>
    <col min="3335" max="3336" width="13.86328125" style="77" bestFit="1" customWidth="1"/>
    <col min="3337" max="3337" width="14.86328125" style="77" bestFit="1" customWidth="1"/>
    <col min="3338" max="3576" width="9.1328125" style="77"/>
    <col min="3577" max="3577" width="15.3984375" style="77" bestFit="1" customWidth="1"/>
    <col min="3578" max="3578" width="11.1328125" style="77" bestFit="1" customWidth="1"/>
    <col min="3579" max="3579" width="14.59765625" style="77" bestFit="1" customWidth="1"/>
    <col min="3580" max="3580" width="17.3984375" style="77" bestFit="1" customWidth="1"/>
    <col min="3581" max="3581" width="17.59765625" style="77" bestFit="1" customWidth="1"/>
    <col min="3582" max="3582" width="14.73046875" style="77" bestFit="1" customWidth="1"/>
    <col min="3583" max="3583" width="14.3984375" style="77" bestFit="1" customWidth="1"/>
    <col min="3584" max="3584" width="12.1328125" style="77" bestFit="1" customWidth="1"/>
    <col min="3585" max="3585" width="12.3984375" style="77" bestFit="1" customWidth="1"/>
    <col min="3586" max="3587" width="13.86328125" style="77" bestFit="1" customWidth="1"/>
    <col min="3588" max="3588" width="14.86328125" style="77" bestFit="1" customWidth="1"/>
    <col min="3589" max="3589" width="12.1328125" style="77" bestFit="1" customWidth="1"/>
    <col min="3590" max="3590" width="12.3984375" style="77" bestFit="1" customWidth="1"/>
    <col min="3591" max="3592" width="13.86328125" style="77" bestFit="1" customWidth="1"/>
    <col min="3593" max="3593" width="14.86328125" style="77" bestFit="1" customWidth="1"/>
    <col min="3594" max="3832" width="9.1328125" style="77"/>
    <col min="3833" max="3833" width="15.3984375" style="77" bestFit="1" customWidth="1"/>
    <col min="3834" max="3834" width="11.1328125" style="77" bestFit="1" customWidth="1"/>
    <col min="3835" max="3835" width="14.59765625" style="77" bestFit="1" customWidth="1"/>
    <col min="3836" max="3836" width="17.3984375" style="77" bestFit="1" customWidth="1"/>
    <col min="3837" max="3837" width="17.59765625" style="77" bestFit="1" customWidth="1"/>
    <col min="3838" max="3838" width="14.73046875" style="77" bestFit="1" customWidth="1"/>
    <col min="3839" max="3839" width="14.3984375" style="77" bestFit="1" customWidth="1"/>
    <col min="3840" max="3840" width="12.1328125" style="77" bestFit="1" customWidth="1"/>
    <col min="3841" max="3841" width="12.3984375" style="77" bestFit="1" customWidth="1"/>
    <col min="3842" max="3843" width="13.86328125" style="77" bestFit="1" customWidth="1"/>
    <col min="3844" max="3844" width="14.86328125" style="77" bestFit="1" customWidth="1"/>
    <col min="3845" max="3845" width="12.1328125" style="77" bestFit="1" customWidth="1"/>
    <col min="3846" max="3846" width="12.3984375" style="77" bestFit="1" customWidth="1"/>
    <col min="3847" max="3848" width="13.86328125" style="77" bestFit="1" customWidth="1"/>
    <col min="3849" max="3849" width="14.86328125" style="77" bestFit="1" customWidth="1"/>
    <col min="3850" max="4088" width="9.1328125" style="77"/>
    <col min="4089" max="4089" width="15.3984375" style="77" bestFit="1" customWidth="1"/>
    <col min="4090" max="4090" width="11.1328125" style="77" bestFit="1" customWidth="1"/>
    <col min="4091" max="4091" width="14.59765625" style="77" bestFit="1" customWidth="1"/>
    <col min="4092" max="4092" width="17.3984375" style="77" bestFit="1" customWidth="1"/>
    <col min="4093" max="4093" width="17.59765625" style="77" bestFit="1" customWidth="1"/>
    <col min="4094" max="4094" width="14.73046875" style="77" bestFit="1" customWidth="1"/>
    <col min="4095" max="4095" width="14.3984375" style="77" bestFit="1" customWidth="1"/>
    <col min="4096" max="4096" width="12.1328125" style="77" bestFit="1" customWidth="1"/>
    <col min="4097" max="4097" width="12.3984375" style="77" bestFit="1" customWidth="1"/>
    <col min="4098" max="4099" width="13.86328125" style="77" bestFit="1" customWidth="1"/>
    <col min="4100" max="4100" width="14.86328125" style="77" bestFit="1" customWidth="1"/>
    <col min="4101" max="4101" width="12.1328125" style="77" bestFit="1" customWidth="1"/>
    <col min="4102" max="4102" width="12.3984375" style="77" bestFit="1" customWidth="1"/>
    <col min="4103" max="4104" width="13.86328125" style="77" bestFit="1" customWidth="1"/>
    <col min="4105" max="4105" width="14.86328125" style="77" bestFit="1" customWidth="1"/>
    <col min="4106" max="4344" width="9.1328125" style="77"/>
    <col min="4345" max="4345" width="15.3984375" style="77" bestFit="1" customWidth="1"/>
    <col min="4346" max="4346" width="11.1328125" style="77" bestFit="1" customWidth="1"/>
    <col min="4347" max="4347" width="14.59765625" style="77" bestFit="1" customWidth="1"/>
    <col min="4348" max="4348" width="17.3984375" style="77" bestFit="1" customWidth="1"/>
    <col min="4349" max="4349" width="17.59765625" style="77" bestFit="1" customWidth="1"/>
    <col min="4350" max="4350" width="14.73046875" style="77" bestFit="1" customWidth="1"/>
    <col min="4351" max="4351" width="14.3984375" style="77" bestFit="1" customWidth="1"/>
    <col min="4352" max="4352" width="12.1328125" style="77" bestFit="1" customWidth="1"/>
    <col min="4353" max="4353" width="12.3984375" style="77" bestFit="1" customWidth="1"/>
    <col min="4354" max="4355" width="13.86328125" style="77" bestFit="1" customWidth="1"/>
    <col min="4356" max="4356" width="14.86328125" style="77" bestFit="1" customWidth="1"/>
    <col min="4357" max="4357" width="12.1328125" style="77" bestFit="1" customWidth="1"/>
    <col min="4358" max="4358" width="12.3984375" style="77" bestFit="1" customWidth="1"/>
    <col min="4359" max="4360" width="13.86328125" style="77" bestFit="1" customWidth="1"/>
    <col min="4361" max="4361" width="14.86328125" style="77" bestFit="1" customWidth="1"/>
    <col min="4362" max="4600" width="9.1328125" style="77"/>
    <col min="4601" max="4601" width="15.3984375" style="77" bestFit="1" customWidth="1"/>
    <col min="4602" max="4602" width="11.1328125" style="77" bestFit="1" customWidth="1"/>
    <col min="4603" max="4603" width="14.59765625" style="77" bestFit="1" customWidth="1"/>
    <col min="4604" max="4604" width="17.3984375" style="77" bestFit="1" customWidth="1"/>
    <col min="4605" max="4605" width="17.59765625" style="77" bestFit="1" customWidth="1"/>
    <col min="4606" max="4606" width="14.73046875" style="77" bestFit="1" customWidth="1"/>
    <col min="4607" max="4607" width="14.3984375" style="77" bestFit="1" customWidth="1"/>
    <col min="4608" max="4608" width="12.1328125" style="77" bestFit="1" customWidth="1"/>
    <col min="4609" max="4609" width="12.3984375" style="77" bestFit="1" customWidth="1"/>
    <col min="4610" max="4611" width="13.86328125" style="77" bestFit="1" customWidth="1"/>
    <col min="4612" max="4612" width="14.86328125" style="77" bestFit="1" customWidth="1"/>
    <col min="4613" max="4613" width="12.1328125" style="77" bestFit="1" customWidth="1"/>
    <col min="4614" max="4614" width="12.3984375" style="77" bestFit="1" customWidth="1"/>
    <col min="4615" max="4616" width="13.86328125" style="77" bestFit="1" customWidth="1"/>
    <col min="4617" max="4617" width="14.86328125" style="77" bestFit="1" customWidth="1"/>
    <col min="4618" max="4856" width="9.1328125" style="77"/>
    <col min="4857" max="4857" width="15.3984375" style="77" bestFit="1" customWidth="1"/>
    <col min="4858" max="4858" width="11.1328125" style="77" bestFit="1" customWidth="1"/>
    <col min="4859" max="4859" width="14.59765625" style="77" bestFit="1" customWidth="1"/>
    <col min="4860" max="4860" width="17.3984375" style="77" bestFit="1" customWidth="1"/>
    <col min="4861" max="4861" width="17.59765625" style="77" bestFit="1" customWidth="1"/>
    <col min="4862" max="4862" width="14.73046875" style="77" bestFit="1" customWidth="1"/>
    <col min="4863" max="4863" width="14.3984375" style="77" bestFit="1" customWidth="1"/>
    <col min="4864" max="4864" width="12.1328125" style="77" bestFit="1" customWidth="1"/>
    <col min="4865" max="4865" width="12.3984375" style="77" bestFit="1" customWidth="1"/>
    <col min="4866" max="4867" width="13.86328125" style="77" bestFit="1" customWidth="1"/>
    <col min="4868" max="4868" width="14.86328125" style="77" bestFit="1" customWidth="1"/>
    <col min="4869" max="4869" width="12.1328125" style="77" bestFit="1" customWidth="1"/>
    <col min="4870" max="4870" width="12.3984375" style="77" bestFit="1" customWidth="1"/>
    <col min="4871" max="4872" width="13.86328125" style="77" bestFit="1" customWidth="1"/>
    <col min="4873" max="4873" width="14.86328125" style="77" bestFit="1" customWidth="1"/>
    <col min="4874" max="5112" width="9.1328125" style="77"/>
    <col min="5113" max="5113" width="15.3984375" style="77" bestFit="1" customWidth="1"/>
    <col min="5114" max="5114" width="11.1328125" style="77" bestFit="1" customWidth="1"/>
    <col min="5115" max="5115" width="14.59765625" style="77" bestFit="1" customWidth="1"/>
    <col min="5116" max="5116" width="17.3984375" style="77" bestFit="1" customWidth="1"/>
    <col min="5117" max="5117" width="17.59765625" style="77" bestFit="1" customWidth="1"/>
    <col min="5118" max="5118" width="14.73046875" style="77" bestFit="1" customWidth="1"/>
    <col min="5119" max="5119" width="14.3984375" style="77" bestFit="1" customWidth="1"/>
    <col min="5120" max="5120" width="12.1328125" style="77" bestFit="1" customWidth="1"/>
    <col min="5121" max="5121" width="12.3984375" style="77" bestFit="1" customWidth="1"/>
    <col min="5122" max="5123" width="13.86328125" style="77" bestFit="1" customWidth="1"/>
    <col min="5124" max="5124" width="14.86328125" style="77" bestFit="1" customWidth="1"/>
    <col min="5125" max="5125" width="12.1328125" style="77" bestFit="1" customWidth="1"/>
    <col min="5126" max="5126" width="12.3984375" style="77" bestFit="1" customWidth="1"/>
    <col min="5127" max="5128" width="13.86328125" style="77" bestFit="1" customWidth="1"/>
    <col min="5129" max="5129" width="14.86328125" style="77" bestFit="1" customWidth="1"/>
    <col min="5130" max="5368" width="9.1328125" style="77"/>
    <col min="5369" max="5369" width="15.3984375" style="77" bestFit="1" customWidth="1"/>
    <col min="5370" max="5370" width="11.1328125" style="77" bestFit="1" customWidth="1"/>
    <col min="5371" max="5371" width="14.59765625" style="77" bestFit="1" customWidth="1"/>
    <col min="5372" max="5372" width="17.3984375" style="77" bestFit="1" customWidth="1"/>
    <col min="5373" max="5373" width="17.59765625" style="77" bestFit="1" customWidth="1"/>
    <col min="5374" max="5374" width="14.73046875" style="77" bestFit="1" customWidth="1"/>
    <col min="5375" max="5375" width="14.3984375" style="77" bestFit="1" customWidth="1"/>
    <col min="5376" max="5376" width="12.1328125" style="77" bestFit="1" customWidth="1"/>
    <col min="5377" max="5377" width="12.3984375" style="77" bestFit="1" customWidth="1"/>
    <col min="5378" max="5379" width="13.86328125" style="77" bestFit="1" customWidth="1"/>
    <col min="5380" max="5380" width="14.86328125" style="77" bestFit="1" customWidth="1"/>
    <col min="5381" max="5381" width="12.1328125" style="77" bestFit="1" customWidth="1"/>
    <col min="5382" max="5382" width="12.3984375" style="77" bestFit="1" customWidth="1"/>
    <col min="5383" max="5384" width="13.86328125" style="77" bestFit="1" customWidth="1"/>
    <col min="5385" max="5385" width="14.86328125" style="77" bestFit="1" customWidth="1"/>
    <col min="5386" max="5624" width="9.1328125" style="77"/>
    <col min="5625" max="5625" width="15.3984375" style="77" bestFit="1" customWidth="1"/>
    <col min="5626" max="5626" width="11.1328125" style="77" bestFit="1" customWidth="1"/>
    <col min="5627" max="5627" width="14.59765625" style="77" bestFit="1" customWidth="1"/>
    <col min="5628" max="5628" width="17.3984375" style="77" bestFit="1" customWidth="1"/>
    <col min="5629" max="5629" width="17.59765625" style="77" bestFit="1" customWidth="1"/>
    <col min="5630" max="5630" width="14.73046875" style="77" bestFit="1" customWidth="1"/>
    <col min="5631" max="5631" width="14.3984375" style="77" bestFit="1" customWidth="1"/>
    <col min="5632" max="5632" width="12.1328125" style="77" bestFit="1" customWidth="1"/>
    <col min="5633" max="5633" width="12.3984375" style="77" bestFit="1" customWidth="1"/>
    <col min="5634" max="5635" width="13.86328125" style="77" bestFit="1" customWidth="1"/>
    <col min="5636" max="5636" width="14.86328125" style="77" bestFit="1" customWidth="1"/>
    <col min="5637" max="5637" width="12.1328125" style="77" bestFit="1" customWidth="1"/>
    <col min="5638" max="5638" width="12.3984375" style="77" bestFit="1" customWidth="1"/>
    <col min="5639" max="5640" width="13.86328125" style="77" bestFit="1" customWidth="1"/>
    <col min="5641" max="5641" width="14.86328125" style="77" bestFit="1" customWidth="1"/>
    <col min="5642" max="5880" width="9.1328125" style="77"/>
    <col min="5881" max="5881" width="15.3984375" style="77" bestFit="1" customWidth="1"/>
    <col min="5882" max="5882" width="11.1328125" style="77" bestFit="1" customWidth="1"/>
    <col min="5883" max="5883" width="14.59765625" style="77" bestFit="1" customWidth="1"/>
    <col min="5884" max="5884" width="17.3984375" style="77" bestFit="1" customWidth="1"/>
    <col min="5885" max="5885" width="17.59765625" style="77" bestFit="1" customWidth="1"/>
    <col min="5886" max="5886" width="14.73046875" style="77" bestFit="1" customWidth="1"/>
    <col min="5887" max="5887" width="14.3984375" style="77" bestFit="1" customWidth="1"/>
    <col min="5888" max="5888" width="12.1328125" style="77" bestFit="1" customWidth="1"/>
    <col min="5889" max="5889" width="12.3984375" style="77" bestFit="1" customWidth="1"/>
    <col min="5890" max="5891" width="13.86328125" style="77" bestFit="1" customWidth="1"/>
    <col min="5892" max="5892" width="14.86328125" style="77" bestFit="1" customWidth="1"/>
    <col min="5893" max="5893" width="12.1328125" style="77" bestFit="1" customWidth="1"/>
    <col min="5894" max="5894" width="12.3984375" style="77" bestFit="1" customWidth="1"/>
    <col min="5895" max="5896" width="13.86328125" style="77" bestFit="1" customWidth="1"/>
    <col min="5897" max="5897" width="14.86328125" style="77" bestFit="1" customWidth="1"/>
    <col min="5898" max="6136" width="9.1328125" style="77"/>
    <col min="6137" max="6137" width="15.3984375" style="77" bestFit="1" customWidth="1"/>
    <col min="6138" max="6138" width="11.1328125" style="77" bestFit="1" customWidth="1"/>
    <col min="6139" max="6139" width="14.59765625" style="77" bestFit="1" customWidth="1"/>
    <col min="6140" max="6140" width="17.3984375" style="77" bestFit="1" customWidth="1"/>
    <col min="6141" max="6141" width="17.59765625" style="77" bestFit="1" customWidth="1"/>
    <col min="6142" max="6142" width="14.73046875" style="77" bestFit="1" customWidth="1"/>
    <col min="6143" max="6143" width="14.3984375" style="77" bestFit="1" customWidth="1"/>
    <col min="6144" max="6144" width="12.1328125" style="77" bestFit="1" customWidth="1"/>
    <col min="6145" max="6145" width="12.3984375" style="77" bestFit="1" customWidth="1"/>
    <col min="6146" max="6147" width="13.86328125" style="77" bestFit="1" customWidth="1"/>
    <col min="6148" max="6148" width="14.86328125" style="77" bestFit="1" customWidth="1"/>
    <col min="6149" max="6149" width="12.1328125" style="77" bestFit="1" customWidth="1"/>
    <col min="6150" max="6150" width="12.3984375" style="77" bestFit="1" customWidth="1"/>
    <col min="6151" max="6152" width="13.86328125" style="77" bestFit="1" customWidth="1"/>
    <col min="6153" max="6153" width="14.86328125" style="77" bestFit="1" customWidth="1"/>
    <col min="6154" max="6392" width="9.1328125" style="77"/>
    <col min="6393" max="6393" width="15.3984375" style="77" bestFit="1" customWidth="1"/>
    <col min="6394" max="6394" width="11.1328125" style="77" bestFit="1" customWidth="1"/>
    <col min="6395" max="6395" width="14.59765625" style="77" bestFit="1" customWidth="1"/>
    <col min="6396" max="6396" width="17.3984375" style="77" bestFit="1" customWidth="1"/>
    <col min="6397" max="6397" width="17.59765625" style="77" bestFit="1" customWidth="1"/>
    <col min="6398" max="6398" width="14.73046875" style="77" bestFit="1" customWidth="1"/>
    <col min="6399" max="6399" width="14.3984375" style="77" bestFit="1" customWidth="1"/>
    <col min="6400" max="6400" width="12.1328125" style="77" bestFit="1" customWidth="1"/>
    <col min="6401" max="6401" width="12.3984375" style="77" bestFit="1" customWidth="1"/>
    <col min="6402" max="6403" width="13.86328125" style="77" bestFit="1" customWidth="1"/>
    <col min="6404" max="6404" width="14.86328125" style="77" bestFit="1" customWidth="1"/>
    <col min="6405" max="6405" width="12.1328125" style="77" bestFit="1" customWidth="1"/>
    <col min="6406" max="6406" width="12.3984375" style="77" bestFit="1" customWidth="1"/>
    <col min="6407" max="6408" width="13.86328125" style="77" bestFit="1" customWidth="1"/>
    <col min="6409" max="6409" width="14.86328125" style="77" bestFit="1" customWidth="1"/>
    <col min="6410" max="6648" width="9.1328125" style="77"/>
    <col min="6649" max="6649" width="15.3984375" style="77" bestFit="1" customWidth="1"/>
    <col min="6650" max="6650" width="11.1328125" style="77" bestFit="1" customWidth="1"/>
    <col min="6651" max="6651" width="14.59765625" style="77" bestFit="1" customWidth="1"/>
    <col min="6652" max="6652" width="17.3984375" style="77" bestFit="1" customWidth="1"/>
    <col min="6653" max="6653" width="17.59765625" style="77" bestFit="1" customWidth="1"/>
    <col min="6654" max="6654" width="14.73046875" style="77" bestFit="1" customWidth="1"/>
    <col min="6655" max="6655" width="14.3984375" style="77" bestFit="1" customWidth="1"/>
    <col min="6656" max="6656" width="12.1328125" style="77" bestFit="1" customWidth="1"/>
    <col min="6657" max="6657" width="12.3984375" style="77" bestFit="1" customWidth="1"/>
    <col min="6658" max="6659" width="13.86328125" style="77" bestFit="1" customWidth="1"/>
    <col min="6660" max="6660" width="14.86328125" style="77" bestFit="1" customWidth="1"/>
    <col min="6661" max="6661" width="12.1328125" style="77" bestFit="1" customWidth="1"/>
    <col min="6662" max="6662" width="12.3984375" style="77" bestFit="1" customWidth="1"/>
    <col min="6663" max="6664" width="13.86328125" style="77" bestFit="1" customWidth="1"/>
    <col min="6665" max="6665" width="14.86328125" style="77" bestFit="1" customWidth="1"/>
    <col min="6666" max="6904" width="9.1328125" style="77"/>
    <col min="6905" max="6905" width="15.3984375" style="77" bestFit="1" customWidth="1"/>
    <col min="6906" max="6906" width="11.1328125" style="77" bestFit="1" customWidth="1"/>
    <col min="6907" max="6907" width="14.59765625" style="77" bestFit="1" customWidth="1"/>
    <col min="6908" max="6908" width="17.3984375" style="77" bestFit="1" customWidth="1"/>
    <col min="6909" max="6909" width="17.59765625" style="77" bestFit="1" customWidth="1"/>
    <col min="6910" max="6910" width="14.73046875" style="77" bestFit="1" customWidth="1"/>
    <col min="6911" max="6911" width="14.3984375" style="77" bestFit="1" customWidth="1"/>
    <col min="6912" max="6912" width="12.1328125" style="77" bestFit="1" customWidth="1"/>
    <col min="6913" max="6913" width="12.3984375" style="77" bestFit="1" customWidth="1"/>
    <col min="6914" max="6915" width="13.86328125" style="77" bestFit="1" customWidth="1"/>
    <col min="6916" max="6916" width="14.86328125" style="77" bestFit="1" customWidth="1"/>
    <col min="6917" max="6917" width="12.1328125" style="77" bestFit="1" customWidth="1"/>
    <col min="6918" max="6918" width="12.3984375" style="77" bestFit="1" customWidth="1"/>
    <col min="6919" max="6920" width="13.86328125" style="77" bestFit="1" customWidth="1"/>
    <col min="6921" max="6921" width="14.86328125" style="77" bestFit="1" customWidth="1"/>
    <col min="6922" max="7160" width="9.1328125" style="77"/>
    <col min="7161" max="7161" width="15.3984375" style="77" bestFit="1" customWidth="1"/>
    <col min="7162" max="7162" width="11.1328125" style="77" bestFit="1" customWidth="1"/>
    <col min="7163" max="7163" width="14.59765625" style="77" bestFit="1" customWidth="1"/>
    <col min="7164" max="7164" width="17.3984375" style="77" bestFit="1" customWidth="1"/>
    <col min="7165" max="7165" width="17.59765625" style="77" bestFit="1" customWidth="1"/>
    <col min="7166" max="7166" width="14.73046875" style="77" bestFit="1" customWidth="1"/>
    <col min="7167" max="7167" width="14.3984375" style="77" bestFit="1" customWidth="1"/>
    <col min="7168" max="7168" width="12.1328125" style="77" bestFit="1" customWidth="1"/>
    <col min="7169" max="7169" width="12.3984375" style="77" bestFit="1" customWidth="1"/>
    <col min="7170" max="7171" width="13.86328125" style="77" bestFit="1" customWidth="1"/>
    <col min="7172" max="7172" width="14.86328125" style="77" bestFit="1" customWidth="1"/>
    <col min="7173" max="7173" width="12.1328125" style="77" bestFit="1" customWidth="1"/>
    <col min="7174" max="7174" width="12.3984375" style="77" bestFit="1" customWidth="1"/>
    <col min="7175" max="7176" width="13.86328125" style="77" bestFit="1" customWidth="1"/>
    <col min="7177" max="7177" width="14.86328125" style="77" bestFit="1" customWidth="1"/>
    <col min="7178" max="7416" width="9.1328125" style="77"/>
    <col min="7417" max="7417" width="15.3984375" style="77" bestFit="1" customWidth="1"/>
    <col min="7418" max="7418" width="11.1328125" style="77" bestFit="1" customWidth="1"/>
    <col min="7419" max="7419" width="14.59765625" style="77" bestFit="1" customWidth="1"/>
    <col min="7420" max="7420" width="17.3984375" style="77" bestFit="1" customWidth="1"/>
    <col min="7421" max="7421" width="17.59765625" style="77" bestFit="1" customWidth="1"/>
    <col min="7422" max="7422" width="14.73046875" style="77" bestFit="1" customWidth="1"/>
    <col min="7423" max="7423" width="14.3984375" style="77" bestFit="1" customWidth="1"/>
    <col min="7424" max="7424" width="12.1328125" style="77" bestFit="1" customWidth="1"/>
    <col min="7425" max="7425" width="12.3984375" style="77" bestFit="1" customWidth="1"/>
    <col min="7426" max="7427" width="13.86328125" style="77" bestFit="1" customWidth="1"/>
    <col min="7428" max="7428" width="14.86328125" style="77" bestFit="1" customWidth="1"/>
    <col min="7429" max="7429" width="12.1328125" style="77" bestFit="1" customWidth="1"/>
    <col min="7430" max="7430" width="12.3984375" style="77" bestFit="1" customWidth="1"/>
    <col min="7431" max="7432" width="13.86328125" style="77" bestFit="1" customWidth="1"/>
    <col min="7433" max="7433" width="14.86328125" style="77" bestFit="1" customWidth="1"/>
    <col min="7434" max="7672" width="9.1328125" style="77"/>
    <col min="7673" max="7673" width="15.3984375" style="77" bestFit="1" customWidth="1"/>
    <col min="7674" max="7674" width="11.1328125" style="77" bestFit="1" customWidth="1"/>
    <col min="7675" max="7675" width="14.59765625" style="77" bestFit="1" customWidth="1"/>
    <col min="7676" max="7676" width="17.3984375" style="77" bestFit="1" customWidth="1"/>
    <col min="7677" max="7677" width="17.59765625" style="77" bestFit="1" customWidth="1"/>
    <col min="7678" max="7678" width="14.73046875" style="77" bestFit="1" customWidth="1"/>
    <col min="7679" max="7679" width="14.3984375" style="77" bestFit="1" customWidth="1"/>
    <col min="7680" max="7680" width="12.1328125" style="77" bestFit="1" customWidth="1"/>
    <col min="7681" max="7681" width="12.3984375" style="77" bestFit="1" customWidth="1"/>
    <col min="7682" max="7683" width="13.86328125" style="77" bestFit="1" customWidth="1"/>
    <col min="7684" max="7684" width="14.86328125" style="77" bestFit="1" customWidth="1"/>
    <col min="7685" max="7685" width="12.1328125" style="77" bestFit="1" customWidth="1"/>
    <col min="7686" max="7686" width="12.3984375" style="77" bestFit="1" customWidth="1"/>
    <col min="7687" max="7688" width="13.86328125" style="77" bestFit="1" customWidth="1"/>
    <col min="7689" max="7689" width="14.86328125" style="77" bestFit="1" customWidth="1"/>
    <col min="7690" max="7928" width="9.1328125" style="77"/>
    <col min="7929" max="7929" width="15.3984375" style="77" bestFit="1" customWidth="1"/>
    <col min="7930" max="7930" width="11.1328125" style="77" bestFit="1" customWidth="1"/>
    <col min="7931" max="7931" width="14.59765625" style="77" bestFit="1" customWidth="1"/>
    <col min="7932" max="7932" width="17.3984375" style="77" bestFit="1" customWidth="1"/>
    <col min="7933" max="7933" width="17.59765625" style="77" bestFit="1" customWidth="1"/>
    <col min="7934" max="7934" width="14.73046875" style="77" bestFit="1" customWidth="1"/>
    <col min="7935" max="7935" width="14.3984375" style="77" bestFit="1" customWidth="1"/>
    <col min="7936" max="7936" width="12.1328125" style="77" bestFit="1" customWidth="1"/>
    <col min="7937" max="7937" width="12.3984375" style="77" bestFit="1" customWidth="1"/>
    <col min="7938" max="7939" width="13.86328125" style="77" bestFit="1" customWidth="1"/>
    <col min="7940" max="7940" width="14.86328125" style="77" bestFit="1" customWidth="1"/>
    <col min="7941" max="7941" width="12.1328125" style="77" bestFit="1" customWidth="1"/>
    <col min="7942" max="7942" width="12.3984375" style="77" bestFit="1" customWidth="1"/>
    <col min="7943" max="7944" width="13.86328125" style="77" bestFit="1" customWidth="1"/>
    <col min="7945" max="7945" width="14.86328125" style="77" bestFit="1" customWidth="1"/>
    <col min="7946" max="8184" width="9.1328125" style="77"/>
    <col min="8185" max="8185" width="15.3984375" style="77" bestFit="1" customWidth="1"/>
    <col min="8186" max="8186" width="11.1328125" style="77" bestFit="1" customWidth="1"/>
    <col min="8187" max="8187" width="14.59765625" style="77" bestFit="1" customWidth="1"/>
    <col min="8188" max="8188" width="17.3984375" style="77" bestFit="1" customWidth="1"/>
    <col min="8189" max="8189" width="17.59765625" style="77" bestFit="1" customWidth="1"/>
    <col min="8190" max="8190" width="14.73046875" style="77" bestFit="1" customWidth="1"/>
    <col min="8191" max="8191" width="14.3984375" style="77" bestFit="1" customWidth="1"/>
    <col min="8192" max="8192" width="12.1328125" style="77" bestFit="1" customWidth="1"/>
    <col min="8193" max="8193" width="12.3984375" style="77" bestFit="1" customWidth="1"/>
    <col min="8194" max="8195" width="13.86328125" style="77" bestFit="1" customWidth="1"/>
    <col min="8196" max="8196" width="14.86328125" style="77" bestFit="1" customWidth="1"/>
    <col min="8197" max="8197" width="12.1328125" style="77" bestFit="1" customWidth="1"/>
    <col min="8198" max="8198" width="12.3984375" style="77" bestFit="1" customWidth="1"/>
    <col min="8199" max="8200" width="13.86328125" style="77" bestFit="1" customWidth="1"/>
    <col min="8201" max="8201" width="14.86328125" style="77" bestFit="1" customWidth="1"/>
    <col min="8202" max="8440" width="9.1328125" style="77"/>
    <col min="8441" max="8441" width="15.3984375" style="77" bestFit="1" customWidth="1"/>
    <col min="8442" max="8442" width="11.1328125" style="77" bestFit="1" customWidth="1"/>
    <col min="8443" max="8443" width="14.59765625" style="77" bestFit="1" customWidth="1"/>
    <col min="8444" max="8444" width="17.3984375" style="77" bestFit="1" customWidth="1"/>
    <col min="8445" max="8445" width="17.59765625" style="77" bestFit="1" customWidth="1"/>
    <col min="8446" max="8446" width="14.73046875" style="77" bestFit="1" customWidth="1"/>
    <col min="8447" max="8447" width="14.3984375" style="77" bestFit="1" customWidth="1"/>
    <col min="8448" max="8448" width="12.1328125" style="77" bestFit="1" customWidth="1"/>
    <col min="8449" max="8449" width="12.3984375" style="77" bestFit="1" customWidth="1"/>
    <col min="8450" max="8451" width="13.86328125" style="77" bestFit="1" customWidth="1"/>
    <col min="8452" max="8452" width="14.86328125" style="77" bestFit="1" customWidth="1"/>
    <col min="8453" max="8453" width="12.1328125" style="77" bestFit="1" customWidth="1"/>
    <col min="8454" max="8454" width="12.3984375" style="77" bestFit="1" customWidth="1"/>
    <col min="8455" max="8456" width="13.86328125" style="77" bestFit="1" customWidth="1"/>
    <col min="8457" max="8457" width="14.86328125" style="77" bestFit="1" customWidth="1"/>
    <col min="8458" max="8696" width="9.1328125" style="77"/>
    <col min="8697" max="8697" width="15.3984375" style="77" bestFit="1" customWidth="1"/>
    <col min="8698" max="8698" width="11.1328125" style="77" bestFit="1" customWidth="1"/>
    <col min="8699" max="8699" width="14.59765625" style="77" bestFit="1" customWidth="1"/>
    <col min="8700" max="8700" width="17.3984375" style="77" bestFit="1" customWidth="1"/>
    <col min="8701" max="8701" width="17.59765625" style="77" bestFit="1" customWidth="1"/>
    <col min="8702" max="8702" width="14.73046875" style="77" bestFit="1" customWidth="1"/>
    <col min="8703" max="8703" width="14.3984375" style="77" bestFit="1" customWidth="1"/>
    <col min="8704" max="8704" width="12.1328125" style="77" bestFit="1" customWidth="1"/>
    <col min="8705" max="8705" width="12.3984375" style="77" bestFit="1" customWidth="1"/>
    <col min="8706" max="8707" width="13.86328125" style="77" bestFit="1" customWidth="1"/>
    <col min="8708" max="8708" width="14.86328125" style="77" bestFit="1" customWidth="1"/>
    <col min="8709" max="8709" width="12.1328125" style="77" bestFit="1" customWidth="1"/>
    <col min="8710" max="8710" width="12.3984375" style="77" bestFit="1" customWidth="1"/>
    <col min="8711" max="8712" width="13.86328125" style="77" bestFit="1" customWidth="1"/>
    <col min="8713" max="8713" width="14.86328125" style="77" bestFit="1" customWidth="1"/>
    <col min="8714" max="8952" width="9.1328125" style="77"/>
    <col min="8953" max="8953" width="15.3984375" style="77" bestFit="1" customWidth="1"/>
    <col min="8954" max="8954" width="11.1328125" style="77" bestFit="1" customWidth="1"/>
    <col min="8955" max="8955" width="14.59765625" style="77" bestFit="1" customWidth="1"/>
    <col min="8956" max="8956" width="17.3984375" style="77" bestFit="1" customWidth="1"/>
    <col min="8957" max="8957" width="17.59765625" style="77" bestFit="1" customWidth="1"/>
    <col min="8958" max="8958" width="14.73046875" style="77" bestFit="1" customWidth="1"/>
    <col min="8959" max="8959" width="14.3984375" style="77" bestFit="1" customWidth="1"/>
    <col min="8960" max="8960" width="12.1328125" style="77" bestFit="1" customWidth="1"/>
    <col min="8961" max="8961" width="12.3984375" style="77" bestFit="1" customWidth="1"/>
    <col min="8962" max="8963" width="13.86328125" style="77" bestFit="1" customWidth="1"/>
    <col min="8964" max="8964" width="14.86328125" style="77" bestFit="1" customWidth="1"/>
    <col min="8965" max="8965" width="12.1328125" style="77" bestFit="1" customWidth="1"/>
    <col min="8966" max="8966" width="12.3984375" style="77" bestFit="1" customWidth="1"/>
    <col min="8967" max="8968" width="13.86328125" style="77" bestFit="1" customWidth="1"/>
    <col min="8969" max="8969" width="14.86328125" style="77" bestFit="1" customWidth="1"/>
    <col min="8970" max="9208" width="9.1328125" style="77"/>
    <col min="9209" max="9209" width="15.3984375" style="77" bestFit="1" customWidth="1"/>
    <col min="9210" max="9210" width="11.1328125" style="77" bestFit="1" customWidth="1"/>
    <col min="9211" max="9211" width="14.59765625" style="77" bestFit="1" customWidth="1"/>
    <col min="9212" max="9212" width="17.3984375" style="77" bestFit="1" customWidth="1"/>
    <col min="9213" max="9213" width="17.59765625" style="77" bestFit="1" customWidth="1"/>
    <col min="9214" max="9214" width="14.73046875" style="77" bestFit="1" customWidth="1"/>
    <col min="9215" max="9215" width="14.3984375" style="77" bestFit="1" customWidth="1"/>
    <col min="9216" max="9216" width="12.1328125" style="77" bestFit="1" customWidth="1"/>
    <col min="9217" max="9217" width="12.3984375" style="77" bestFit="1" customWidth="1"/>
    <col min="9218" max="9219" width="13.86328125" style="77" bestFit="1" customWidth="1"/>
    <col min="9220" max="9220" width="14.86328125" style="77" bestFit="1" customWidth="1"/>
    <col min="9221" max="9221" width="12.1328125" style="77" bestFit="1" customWidth="1"/>
    <col min="9222" max="9222" width="12.3984375" style="77" bestFit="1" customWidth="1"/>
    <col min="9223" max="9224" width="13.86328125" style="77" bestFit="1" customWidth="1"/>
    <col min="9225" max="9225" width="14.86328125" style="77" bestFit="1" customWidth="1"/>
    <col min="9226" max="9464" width="9.1328125" style="77"/>
    <col min="9465" max="9465" width="15.3984375" style="77" bestFit="1" customWidth="1"/>
    <col min="9466" max="9466" width="11.1328125" style="77" bestFit="1" customWidth="1"/>
    <col min="9467" max="9467" width="14.59765625" style="77" bestFit="1" customWidth="1"/>
    <col min="9468" max="9468" width="17.3984375" style="77" bestFit="1" customWidth="1"/>
    <col min="9469" max="9469" width="17.59765625" style="77" bestFit="1" customWidth="1"/>
    <col min="9470" max="9470" width="14.73046875" style="77" bestFit="1" customWidth="1"/>
    <col min="9471" max="9471" width="14.3984375" style="77" bestFit="1" customWidth="1"/>
    <col min="9472" max="9472" width="12.1328125" style="77" bestFit="1" customWidth="1"/>
    <col min="9473" max="9473" width="12.3984375" style="77" bestFit="1" customWidth="1"/>
    <col min="9474" max="9475" width="13.86328125" style="77" bestFit="1" customWidth="1"/>
    <col min="9476" max="9476" width="14.86328125" style="77" bestFit="1" customWidth="1"/>
    <col min="9477" max="9477" width="12.1328125" style="77" bestFit="1" customWidth="1"/>
    <col min="9478" max="9478" width="12.3984375" style="77" bestFit="1" customWidth="1"/>
    <col min="9479" max="9480" width="13.86328125" style="77" bestFit="1" customWidth="1"/>
    <col min="9481" max="9481" width="14.86328125" style="77" bestFit="1" customWidth="1"/>
    <col min="9482" max="9720" width="9.1328125" style="77"/>
    <col min="9721" max="9721" width="15.3984375" style="77" bestFit="1" customWidth="1"/>
    <col min="9722" max="9722" width="11.1328125" style="77" bestFit="1" customWidth="1"/>
    <col min="9723" max="9723" width="14.59765625" style="77" bestFit="1" customWidth="1"/>
    <col min="9724" max="9724" width="17.3984375" style="77" bestFit="1" customWidth="1"/>
    <col min="9725" max="9725" width="17.59765625" style="77" bestFit="1" customWidth="1"/>
    <col min="9726" max="9726" width="14.73046875" style="77" bestFit="1" customWidth="1"/>
    <col min="9727" max="9727" width="14.3984375" style="77" bestFit="1" customWidth="1"/>
    <col min="9728" max="9728" width="12.1328125" style="77" bestFit="1" customWidth="1"/>
    <col min="9729" max="9729" width="12.3984375" style="77" bestFit="1" customWidth="1"/>
    <col min="9730" max="9731" width="13.86328125" style="77" bestFit="1" customWidth="1"/>
    <col min="9732" max="9732" width="14.86328125" style="77" bestFit="1" customWidth="1"/>
    <col min="9733" max="9733" width="12.1328125" style="77" bestFit="1" customWidth="1"/>
    <col min="9734" max="9734" width="12.3984375" style="77" bestFit="1" customWidth="1"/>
    <col min="9735" max="9736" width="13.86328125" style="77" bestFit="1" customWidth="1"/>
    <col min="9737" max="9737" width="14.86328125" style="77" bestFit="1" customWidth="1"/>
    <col min="9738" max="9976" width="9.1328125" style="77"/>
    <col min="9977" max="9977" width="15.3984375" style="77" bestFit="1" customWidth="1"/>
    <col min="9978" max="9978" width="11.1328125" style="77" bestFit="1" customWidth="1"/>
    <col min="9979" max="9979" width="14.59765625" style="77" bestFit="1" customWidth="1"/>
    <col min="9980" max="9980" width="17.3984375" style="77" bestFit="1" customWidth="1"/>
    <col min="9981" max="9981" width="17.59765625" style="77" bestFit="1" customWidth="1"/>
    <col min="9982" max="9982" width="14.73046875" style="77" bestFit="1" customWidth="1"/>
    <col min="9983" max="9983" width="14.3984375" style="77" bestFit="1" customWidth="1"/>
    <col min="9984" max="9984" width="12.1328125" style="77" bestFit="1" customWidth="1"/>
    <col min="9985" max="9985" width="12.3984375" style="77" bestFit="1" customWidth="1"/>
    <col min="9986" max="9987" width="13.86328125" style="77" bestFit="1" customWidth="1"/>
    <col min="9988" max="9988" width="14.86328125" style="77" bestFit="1" customWidth="1"/>
    <col min="9989" max="9989" width="12.1328125" style="77" bestFit="1" customWidth="1"/>
    <col min="9990" max="9990" width="12.3984375" style="77" bestFit="1" customWidth="1"/>
    <col min="9991" max="9992" width="13.86328125" style="77" bestFit="1" customWidth="1"/>
    <col min="9993" max="9993" width="14.86328125" style="77" bestFit="1" customWidth="1"/>
    <col min="9994" max="10232" width="9.1328125" style="77"/>
    <col min="10233" max="10233" width="15.3984375" style="77" bestFit="1" customWidth="1"/>
    <col min="10234" max="10234" width="11.1328125" style="77" bestFit="1" customWidth="1"/>
    <col min="10235" max="10235" width="14.59765625" style="77" bestFit="1" customWidth="1"/>
    <col min="10236" max="10236" width="17.3984375" style="77" bestFit="1" customWidth="1"/>
    <col min="10237" max="10237" width="17.59765625" style="77" bestFit="1" customWidth="1"/>
    <col min="10238" max="10238" width="14.73046875" style="77" bestFit="1" customWidth="1"/>
    <col min="10239" max="10239" width="14.3984375" style="77" bestFit="1" customWidth="1"/>
    <col min="10240" max="10240" width="12.1328125" style="77" bestFit="1" customWidth="1"/>
    <col min="10241" max="10241" width="12.3984375" style="77" bestFit="1" customWidth="1"/>
    <col min="10242" max="10243" width="13.86328125" style="77" bestFit="1" customWidth="1"/>
    <col min="10244" max="10244" width="14.86328125" style="77" bestFit="1" customWidth="1"/>
    <col min="10245" max="10245" width="12.1328125" style="77" bestFit="1" customWidth="1"/>
    <col min="10246" max="10246" width="12.3984375" style="77" bestFit="1" customWidth="1"/>
    <col min="10247" max="10248" width="13.86328125" style="77" bestFit="1" customWidth="1"/>
    <col min="10249" max="10249" width="14.86328125" style="77" bestFit="1" customWidth="1"/>
    <col min="10250" max="10488" width="9.1328125" style="77"/>
    <col min="10489" max="10489" width="15.3984375" style="77" bestFit="1" customWidth="1"/>
    <col min="10490" max="10490" width="11.1328125" style="77" bestFit="1" customWidth="1"/>
    <col min="10491" max="10491" width="14.59765625" style="77" bestFit="1" customWidth="1"/>
    <col min="10492" max="10492" width="17.3984375" style="77" bestFit="1" customWidth="1"/>
    <col min="10493" max="10493" width="17.59765625" style="77" bestFit="1" customWidth="1"/>
    <col min="10494" max="10494" width="14.73046875" style="77" bestFit="1" customWidth="1"/>
    <col min="10495" max="10495" width="14.3984375" style="77" bestFit="1" customWidth="1"/>
    <col min="10496" max="10496" width="12.1328125" style="77" bestFit="1" customWidth="1"/>
    <col min="10497" max="10497" width="12.3984375" style="77" bestFit="1" customWidth="1"/>
    <col min="10498" max="10499" width="13.86328125" style="77" bestFit="1" customWidth="1"/>
    <col min="10500" max="10500" width="14.86328125" style="77" bestFit="1" customWidth="1"/>
    <col min="10501" max="10501" width="12.1328125" style="77" bestFit="1" customWidth="1"/>
    <col min="10502" max="10502" width="12.3984375" style="77" bestFit="1" customWidth="1"/>
    <col min="10503" max="10504" width="13.86328125" style="77" bestFit="1" customWidth="1"/>
    <col min="10505" max="10505" width="14.86328125" style="77" bestFit="1" customWidth="1"/>
    <col min="10506" max="10744" width="9.1328125" style="77"/>
    <col min="10745" max="10745" width="15.3984375" style="77" bestFit="1" customWidth="1"/>
    <col min="10746" max="10746" width="11.1328125" style="77" bestFit="1" customWidth="1"/>
    <col min="10747" max="10747" width="14.59765625" style="77" bestFit="1" customWidth="1"/>
    <col min="10748" max="10748" width="17.3984375" style="77" bestFit="1" customWidth="1"/>
    <col min="10749" max="10749" width="17.59765625" style="77" bestFit="1" customWidth="1"/>
    <col min="10750" max="10750" width="14.73046875" style="77" bestFit="1" customWidth="1"/>
    <col min="10751" max="10751" width="14.3984375" style="77" bestFit="1" customWidth="1"/>
    <col min="10752" max="10752" width="12.1328125" style="77" bestFit="1" customWidth="1"/>
    <col min="10753" max="10753" width="12.3984375" style="77" bestFit="1" customWidth="1"/>
    <col min="10754" max="10755" width="13.86328125" style="77" bestFit="1" customWidth="1"/>
    <col min="10756" max="10756" width="14.86328125" style="77" bestFit="1" customWidth="1"/>
    <col min="10757" max="10757" width="12.1328125" style="77" bestFit="1" customWidth="1"/>
    <col min="10758" max="10758" width="12.3984375" style="77" bestFit="1" customWidth="1"/>
    <col min="10759" max="10760" width="13.86328125" style="77" bestFit="1" customWidth="1"/>
    <col min="10761" max="10761" width="14.86328125" style="77" bestFit="1" customWidth="1"/>
    <col min="10762" max="11000" width="9.1328125" style="77"/>
    <col min="11001" max="11001" width="15.3984375" style="77" bestFit="1" customWidth="1"/>
    <col min="11002" max="11002" width="11.1328125" style="77" bestFit="1" customWidth="1"/>
    <col min="11003" max="11003" width="14.59765625" style="77" bestFit="1" customWidth="1"/>
    <col min="11004" max="11004" width="17.3984375" style="77" bestFit="1" customWidth="1"/>
    <col min="11005" max="11005" width="17.59765625" style="77" bestFit="1" customWidth="1"/>
    <col min="11006" max="11006" width="14.73046875" style="77" bestFit="1" customWidth="1"/>
    <col min="11007" max="11007" width="14.3984375" style="77" bestFit="1" customWidth="1"/>
    <col min="11008" max="11008" width="12.1328125" style="77" bestFit="1" customWidth="1"/>
    <col min="11009" max="11009" width="12.3984375" style="77" bestFit="1" customWidth="1"/>
    <col min="11010" max="11011" width="13.86328125" style="77" bestFit="1" customWidth="1"/>
    <col min="11012" max="11012" width="14.86328125" style="77" bestFit="1" customWidth="1"/>
    <col min="11013" max="11013" width="12.1328125" style="77" bestFit="1" customWidth="1"/>
    <col min="11014" max="11014" width="12.3984375" style="77" bestFit="1" customWidth="1"/>
    <col min="11015" max="11016" width="13.86328125" style="77" bestFit="1" customWidth="1"/>
    <col min="11017" max="11017" width="14.86328125" style="77" bestFit="1" customWidth="1"/>
    <col min="11018" max="11256" width="9.1328125" style="77"/>
    <col min="11257" max="11257" width="15.3984375" style="77" bestFit="1" customWidth="1"/>
    <col min="11258" max="11258" width="11.1328125" style="77" bestFit="1" customWidth="1"/>
    <col min="11259" max="11259" width="14.59765625" style="77" bestFit="1" customWidth="1"/>
    <col min="11260" max="11260" width="17.3984375" style="77" bestFit="1" customWidth="1"/>
    <col min="11261" max="11261" width="17.59765625" style="77" bestFit="1" customWidth="1"/>
    <col min="11262" max="11262" width="14.73046875" style="77" bestFit="1" customWidth="1"/>
    <col min="11263" max="11263" width="14.3984375" style="77" bestFit="1" customWidth="1"/>
    <col min="11264" max="11264" width="12.1328125" style="77" bestFit="1" customWidth="1"/>
    <col min="11265" max="11265" width="12.3984375" style="77" bestFit="1" customWidth="1"/>
    <col min="11266" max="11267" width="13.86328125" style="77" bestFit="1" customWidth="1"/>
    <col min="11268" max="11268" width="14.86328125" style="77" bestFit="1" customWidth="1"/>
    <col min="11269" max="11269" width="12.1328125" style="77" bestFit="1" customWidth="1"/>
    <col min="11270" max="11270" width="12.3984375" style="77" bestFit="1" customWidth="1"/>
    <col min="11271" max="11272" width="13.86328125" style="77" bestFit="1" customWidth="1"/>
    <col min="11273" max="11273" width="14.86328125" style="77" bestFit="1" customWidth="1"/>
    <col min="11274" max="11512" width="9.1328125" style="77"/>
    <col min="11513" max="11513" width="15.3984375" style="77" bestFit="1" customWidth="1"/>
    <col min="11514" max="11514" width="11.1328125" style="77" bestFit="1" customWidth="1"/>
    <col min="11515" max="11515" width="14.59765625" style="77" bestFit="1" customWidth="1"/>
    <col min="11516" max="11516" width="17.3984375" style="77" bestFit="1" customWidth="1"/>
    <col min="11517" max="11517" width="17.59765625" style="77" bestFit="1" customWidth="1"/>
    <col min="11518" max="11518" width="14.73046875" style="77" bestFit="1" customWidth="1"/>
    <col min="11519" max="11519" width="14.3984375" style="77" bestFit="1" customWidth="1"/>
    <col min="11520" max="11520" width="12.1328125" style="77" bestFit="1" customWidth="1"/>
    <col min="11521" max="11521" width="12.3984375" style="77" bestFit="1" customWidth="1"/>
    <col min="11522" max="11523" width="13.86328125" style="77" bestFit="1" customWidth="1"/>
    <col min="11524" max="11524" width="14.86328125" style="77" bestFit="1" customWidth="1"/>
    <col min="11525" max="11525" width="12.1328125" style="77" bestFit="1" customWidth="1"/>
    <col min="11526" max="11526" width="12.3984375" style="77" bestFit="1" customWidth="1"/>
    <col min="11527" max="11528" width="13.86328125" style="77" bestFit="1" customWidth="1"/>
    <col min="11529" max="11529" width="14.86328125" style="77" bestFit="1" customWidth="1"/>
    <col min="11530" max="11768" width="9.1328125" style="77"/>
    <col min="11769" max="11769" width="15.3984375" style="77" bestFit="1" customWidth="1"/>
    <col min="11770" max="11770" width="11.1328125" style="77" bestFit="1" customWidth="1"/>
    <col min="11771" max="11771" width="14.59765625" style="77" bestFit="1" customWidth="1"/>
    <col min="11772" max="11772" width="17.3984375" style="77" bestFit="1" customWidth="1"/>
    <col min="11773" max="11773" width="17.59765625" style="77" bestFit="1" customWidth="1"/>
    <col min="11774" max="11774" width="14.73046875" style="77" bestFit="1" customWidth="1"/>
    <col min="11775" max="11775" width="14.3984375" style="77" bestFit="1" customWidth="1"/>
    <col min="11776" max="11776" width="12.1328125" style="77" bestFit="1" customWidth="1"/>
    <col min="11777" max="11777" width="12.3984375" style="77" bestFit="1" customWidth="1"/>
    <col min="11778" max="11779" width="13.86328125" style="77" bestFit="1" customWidth="1"/>
    <col min="11780" max="11780" width="14.86328125" style="77" bestFit="1" customWidth="1"/>
    <col min="11781" max="11781" width="12.1328125" style="77" bestFit="1" customWidth="1"/>
    <col min="11782" max="11782" width="12.3984375" style="77" bestFit="1" customWidth="1"/>
    <col min="11783" max="11784" width="13.86328125" style="77" bestFit="1" customWidth="1"/>
    <col min="11785" max="11785" width="14.86328125" style="77" bestFit="1" customWidth="1"/>
    <col min="11786" max="12024" width="9.1328125" style="77"/>
    <col min="12025" max="12025" width="15.3984375" style="77" bestFit="1" customWidth="1"/>
    <col min="12026" max="12026" width="11.1328125" style="77" bestFit="1" customWidth="1"/>
    <col min="12027" max="12027" width="14.59765625" style="77" bestFit="1" customWidth="1"/>
    <col min="12028" max="12028" width="17.3984375" style="77" bestFit="1" customWidth="1"/>
    <col min="12029" max="12029" width="17.59765625" style="77" bestFit="1" customWidth="1"/>
    <col min="12030" max="12030" width="14.73046875" style="77" bestFit="1" customWidth="1"/>
    <col min="12031" max="12031" width="14.3984375" style="77" bestFit="1" customWidth="1"/>
    <col min="12032" max="12032" width="12.1328125" style="77" bestFit="1" customWidth="1"/>
    <col min="12033" max="12033" width="12.3984375" style="77" bestFit="1" customWidth="1"/>
    <col min="12034" max="12035" width="13.86328125" style="77" bestFit="1" customWidth="1"/>
    <col min="12036" max="12036" width="14.86328125" style="77" bestFit="1" customWidth="1"/>
    <col min="12037" max="12037" width="12.1328125" style="77" bestFit="1" customWidth="1"/>
    <col min="12038" max="12038" width="12.3984375" style="77" bestFit="1" customWidth="1"/>
    <col min="12039" max="12040" width="13.86328125" style="77" bestFit="1" customWidth="1"/>
    <col min="12041" max="12041" width="14.86328125" style="77" bestFit="1" customWidth="1"/>
    <col min="12042" max="12280" width="9.1328125" style="77"/>
    <col min="12281" max="12281" width="15.3984375" style="77" bestFit="1" customWidth="1"/>
    <col min="12282" max="12282" width="11.1328125" style="77" bestFit="1" customWidth="1"/>
    <col min="12283" max="12283" width="14.59765625" style="77" bestFit="1" customWidth="1"/>
    <col min="12284" max="12284" width="17.3984375" style="77" bestFit="1" customWidth="1"/>
    <col min="12285" max="12285" width="17.59765625" style="77" bestFit="1" customWidth="1"/>
    <col min="12286" max="12286" width="14.73046875" style="77" bestFit="1" customWidth="1"/>
    <col min="12287" max="12287" width="14.3984375" style="77" bestFit="1" customWidth="1"/>
    <col min="12288" max="12288" width="12.1328125" style="77" bestFit="1" customWidth="1"/>
    <col min="12289" max="12289" width="12.3984375" style="77" bestFit="1" customWidth="1"/>
    <col min="12290" max="12291" width="13.86328125" style="77" bestFit="1" customWidth="1"/>
    <col min="12292" max="12292" width="14.86328125" style="77" bestFit="1" customWidth="1"/>
    <col min="12293" max="12293" width="12.1328125" style="77" bestFit="1" customWidth="1"/>
    <col min="12294" max="12294" width="12.3984375" style="77" bestFit="1" customWidth="1"/>
    <col min="12295" max="12296" width="13.86328125" style="77" bestFit="1" customWidth="1"/>
    <col min="12297" max="12297" width="14.86328125" style="77" bestFit="1" customWidth="1"/>
    <col min="12298" max="12536" width="9.1328125" style="77"/>
    <col min="12537" max="12537" width="15.3984375" style="77" bestFit="1" customWidth="1"/>
    <col min="12538" max="12538" width="11.1328125" style="77" bestFit="1" customWidth="1"/>
    <col min="12539" max="12539" width="14.59765625" style="77" bestFit="1" customWidth="1"/>
    <col min="12540" max="12540" width="17.3984375" style="77" bestFit="1" customWidth="1"/>
    <col min="12541" max="12541" width="17.59765625" style="77" bestFit="1" customWidth="1"/>
    <col min="12542" max="12542" width="14.73046875" style="77" bestFit="1" customWidth="1"/>
    <col min="12543" max="12543" width="14.3984375" style="77" bestFit="1" customWidth="1"/>
    <col min="12544" max="12544" width="12.1328125" style="77" bestFit="1" customWidth="1"/>
    <col min="12545" max="12545" width="12.3984375" style="77" bestFit="1" customWidth="1"/>
    <col min="12546" max="12547" width="13.86328125" style="77" bestFit="1" customWidth="1"/>
    <col min="12548" max="12548" width="14.86328125" style="77" bestFit="1" customWidth="1"/>
    <col min="12549" max="12549" width="12.1328125" style="77" bestFit="1" customWidth="1"/>
    <col min="12550" max="12550" width="12.3984375" style="77" bestFit="1" customWidth="1"/>
    <col min="12551" max="12552" width="13.86328125" style="77" bestFit="1" customWidth="1"/>
    <col min="12553" max="12553" width="14.86328125" style="77" bestFit="1" customWidth="1"/>
    <col min="12554" max="12792" width="9.1328125" style="77"/>
    <col min="12793" max="12793" width="15.3984375" style="77" bestFit="1" customWidth="1"/>
    <col min="12794" max="12794" width="11.1328125" style="77" bestFit="1" customWidth="1"/>
    <col min="12795" max="12795" width="14.59765625" style="77" bestFit="1" customWidth="1"/>
    <col min="12796" max="12796" width="17.3984375" style="77" bestFit="1" customWidth="1"/>
    <col min="12797" max="12797" width="17.59765625" style="77" bestFit="1" customWidth="1"/>
    <col min="12798" max="12798" width="14.73046875" style="77" bestFit="1" customWidth="1"/>
    <col min="12799" max="12799" width="14.3984375" style="77" bestFit="1" customWidth="1"/>
    <col min="12800" max="12800" width="12.1328125" style="77" bestFit="1" customWidth="1"/>
    <col min="12801" max="12801" width="12.3984375" style="77" bestFit="1" customWidth="1"/>
    <col min="12802" max="12803" width="13.86328125" style="77" bestFit="1" customWidth="1"/>
    <col min="12804" max="12804" width="14.86328125" style="77" bestFit="1" customWidth="1"/>
    <col min="12805" max="12805" width="12.1328125" style="77" bestFit="1" customWidth="1"/>
    <col min="12806" max="12806" width="12.3984375" style="77" bestFit="1" customWidth="1"/>
    <col min="12807" max="12808" width="13.86328125" style="77" bestFit="1" customWidth="1"/>
    <col min="12809" max="12809" width="14.86328125" style="77" bestFit="1" customWidth="1"/>
    <col min="12810" max="13048" width="9.1328125" style="77"/>
    <col min="13049" max="13049" width="15.3984375" style="77" bestFit="1" customWidth="1"/>
    <col min="13050" max="13050" width="11.1328125" style="77" bestFit="1" customWidth="1"/>
    <col min="13051" max="13051" width="14.59765625" style="77" bestFit="1" customWidth="1"/>
    <col min="13052" max="13052" width="17.3984375" style="77" bestFit="1" customWidth="1"/>
    <col min="13053" max="13053" width="17.59765625" style="77" bestFit="1" customWidth="1"/>
    <col min="13054" max="13054" width="14.73046875" style="77" bestFit="1" customWidth="1"/>
    <col min="13055" max="13055" width="14.3984375" style="77" bestFit="1" customWidth="1"/>
    <col min="13056" max="13056" width="12.1328125" style="77" bestFit="1" customWidth="1"/>
    <col min="13057" max="13057" width="12.3984375" style="77" bestFit="1" customWidth="1"/>
    <col min="13058" max="13059" width="13.86328125" style="77" bestFit="1" customWidth="1"/>
    <col min="13060" max="13060" width="14.86328125" style="77" bestFit="1" customWidth="1"/>
    <col min="13061" max="13061" width="12.1328125" style="77" bestFit="1" customWidth="1"/>
    <col min="13062" max="13062" width="12.3984375" style="77" bestFit="1" customWidth="1"/>
    <col min="13063" max="13064" width="13.86328125" style="77" bestFit="1" customWidth="1"/>
    <col min="13065" max="13065" width="14.86328125" style="77" bestFit="1" customWidth="1"/>
    <col min="13066" max="13304" width="9.1328125" style="77"/>
    <col min="13305" max="13305" width="15.3984375" style="77" bestFit="1" customWidth="1"/>
    <col min="13306" max="13306" width="11.1328125" style="77" bestFit="1" customWidth="1"/>
    <col min="13307" max="13307" width="14.59765625" style="77" bestFit="1" customWidth="1"/>
    <col min="13308" max="13308" width="17.3984375" style="77" bestFit="1" customWidth="1"/>
    <col min="13309" max="13309" width="17.59765625" style="77" bestFit="1" customWidth="1"/>
    <col min="13310" max="13310" width="14.73046875" style="77" bestFit="1" customWidth="1"/>
    <col min="13311" max="13311" width="14.3984375" style="77" bestFit="1" customWidth="1"/>
    <col min="13312" max="13312" width="12.1328125" style="77" bestFit="1" customWidth="1"/>
    <col min="13313" max="13313" width="12.3984375" style="77" bestFit="1" customWidth="1"/>
    <col min="13314" max="13315" width="13.86328125" style="77" bestFit="1" customWidth="1"/>
    <col min="13316" max="13316" width="14.86328125" style="77" bestFit="1" customWidth="1"/>
    <col min="13317" max="13317" width="12.1328125" style="77" bestFit="1" customWidth="1"/>
    <col min="13318" max="13318" width="12.3984375" style="77" bestFit="1" customWidth="1"/>
    <col min="13319" max="13320" width="13.86328125" style="77" bestFit="1" customWidth="1"/>
    <col min="13321" max="13321" width="14.86328125" style="77" bestFit="1" customWidth="1"/>
    <col min="13322" max="13560" width="9.1328125" style="77"/>
    <col min="13561" max="13561" width="15.3984375" style="77" bestFit="1" customWidth="1"/>
    <col min="13562" max="13562" width="11.1328125" style="77" bestFit="1" customWidth="1"/>
    <col min="13563" max="13563" width="14.59765625" style="77" bestFit="1" customWidth="1"/>
    <col min="13564" max="13564" width="17.3984375" style="77" bestFit="1" customWidth="1"/>
    <col min="13565" max="13565" width="17.59765625" style="77" bestFit="1" customWidth="1"/>
    <col min="13566" max="13566" width="14.73046875" style="77" bestFit="1" customWidth="1"/>
    <col min="13567" max="13567" width="14.3984375" style="77" bestFit="1" customWidth="1"/>
    <col min="13568" max="13568" width="12.1328125" style="77" bestFit="1" customWidth="1"/>
    <col min="13569" max="13569" width="12.3984375" style="77" bestFit="1" customWidth="1"/>
    <col min="13570" max="13571" width="13.86328125" style="77" bestFit="1" customWidth="1"/>
    <col min="13572" max="13572" width="14.86328125" style="77" bestFit="1" customWidth="1"/>
    <col min="13573" max="13573" width="12.1328125" style="77" bestFit="1" customWidth="1"/>
    <col min="13574" max="13574" width="12.3984375" style="77" bestFit="1" customWidth="1"/>
    <col min="13575" max="13576" width="13.86328125" style="77" bestFit="1" customWidth="1"/>
    <col min="13577" max="13577" width="14.86328125" style="77" bestFit="1" customWidth="1"/>
    <col min="13578" max="13816" width="9.1328125" style="77"/>
    <col min="13817" max="13817" width="15.3984375" style="77" bestFit="1" customWidth="1"/>
    <col min="13818" max="13818" width="11.1328125" style="77" bestFit="1" customWidth="1"/>
    <col min="13819" max="13819" width="14.59765625" style="77" bestFit="1" customWidth="1"/>
    <col min="13820" max="13820" width="17.3984375" style="77" bestFit="1" customWidth="1"/>
    <col min="13821" max="13821" width="17.59765625" style="77" bestFit="1" customWidth="1"/>
    <col min="13822" max="13822" width="14.73046875" style="77" bestFit="1" customWidth="1"/>
    <col min="13823" max="13823" width="14.3984375" style="77" bestFit="1" customWidth="1"/>
    <col min="13824" max="13824" width="12.1328125" style="77" bestFit="1" customWidth="1"/>
    <col min="13825" max="13825" width="12.3984375" style="77" bestFit="1" customWidth="1"/>
    <col min="13826" max="13827" width="13.86328125" style="77" bestFit="1" customWidth="1"/>
    <col min="13828" max="13828" width="14.86328125" style="77" bestFit="1" customWidth="1"/>
    <col min="13829" max="13829" width="12.1328125" style="77" bestFit="1" customWidth="1"/>
    <col min="13830" max="13830" width="12.3984375" style="77" bestFit="1" customWidth="1"/>
    <col min="13831" max="13832" width="13.86328125" style="77" bestFit="1" customWidth="1"/>
    <col min="13833" max="13833" width="14.86328125" style="77" bestFit="1" customWidth="1"/>
    <col min="13834" max="14072" width="9.1328125" style="77"/>
    <col min="14073" max="14073" width="15.3984375" style="77" bestFit="1" customWidth="1"/>
    <col min="14074" max="14074" width="11.1328125" style="77" bestFit="1" customWidth="1"/>
    <col min="14075" max="14075" width="14.59765625" style="77" bestFit="1" customWidth="1"/>
    <col min="14076" max="14076" width="17.3984375" style="77" bestFit="1" customWidth="1"/>
    <col min="14077" max="14077" width="17.59765625" style="77" bestFit="1" customWidth="1"/>
    <col min="14078" max="14078" width="14.73046875" style="77" bestFit="1" customWidth="1"/>
    <col min="14079" max="14079" width="14.3984375" style="77" bestFit="1" customWidth="1"/>
    <col min="14080" max="14080" width="12.1328125" style="77" bestFit="1" customWidth="1"/>
    <col min="14081" max="14081" width="12.3984375" style="77" bestFit="1" customWidth="1"/>
    <col min="14082" max="14083" width="13.86328125" style="77" bestFit="1" customWidth="1"/>
    <col min="14084" max="14084" width="14.86328125" style="77" bestFit="1" customWidth="1"/>
    <col min="14085" max="14085" width="12.1328125" style="77" bestFit="1" customWidth="1"/>
    <col min="14086" max="14086" width="12.3984375" style="77" bestFit="1" customWidth="1"/>
    <col min="14087" max="14088" width="13.86328125" style="77" bestFit="1" customWidth="1"/>
    <col min="14089" max="14089" width="14.86328125" style="77" bestFit="1" customWidth="1"/>
    <col min="14090" max="14328" width="9.1328125" style="77"/>
    <col min="14329" max="14329" width="15.3984375" style="77" bestFit="1" customWidth="1"/>
    <col min="14330" max="14330" width="11.1328125" style="77" bestFit="1" customWidth="1"/>
    <col min="14331" max="14331" width="14.59765625" style="77" bestFit="1" customWidth="1"/>
    <col min="14332" max="14332" width="17.3984375" style="77" bestFit="1" customWidth="1"/>
    <col min="14333" max="14333" width="17.59765625" style="77" bestFit="1" customWidth="1"/>
    <col min="14334" max="14334" width="14.73046875" style="77" bestFit="1" customWidth="1"/>
    <col min="14335" max="14335" width="14.3984375" style="77" bestFit="1" customWidth="1"/>
    <col min="14336" max="14336" width="12.1328125" style="77" bestFit="1" customWidth="1"/>
    <col min="14337" max="14337" width="12.3984375" style="77" bestFit="1" customWidth="1"/>
    <col min="14338" max="14339" width="13.86328125" style="77" bestFit="1" customWidth="1"/>
    <col min="14340" max="14340" width="14.86328125" style="77" bestFit="1" customWidth="1"/>
    <col min="14341" max="14341" width="12.1328125" style="77" bestFit="1" customWidth="1"/>
    <col min="14342" max="14342" width="12.3984375" style="77" bestFit="1" customWidth="1"/>
    <col min="14343" max="14344" width="13.86328125" style="77" bestFit="1" customWidth="1"/>
    <col min="14345" max="14345" width="14.86328125" style="77" bestFit="1" customWidth="1"/>
    <col min="14346" max="14584" width="9.1328125" style="77"/>
    <col min="14585" max="14585" width="15.3984375" style="77" bestFit="1" customWidth="1"/>
    <col min="14586" max="14586" width="11.1328125" style="77" bestFit="1" customWidth="1"/>
    <col min="14587" max="14587" width="14.59765625" style="77" bestFit="1" customWidth="1"/>
    <col min="14588" max="14588" width="17.3984375" style="77" bestFit="1" customWidth="1"/>
    <col min="14589" max="14589" width="17.59765625" style="77" bestFit="1" customWidth="1"/>
    <col min="14590" max="14590" width="14.73046875" style="77" bestFit="1" customWidth="1"/>
    <col min="14591" max="14591" width="14.3984375" style="77" bestFit="1" customWidth="1"/>
    <col min="14592" max="14592" width="12.1328125" style="77" bestFit="1" customWidth="1"/>
    <col min="14593" max="14593" width="12.3984375" style="77" bestFit="1" customWidth="1"/>
    <col min="14594" max="14595" width="13.86328125" style="77" bestFit="1" customWidth="1"/>
    <col min="14596" max="14596" width="14.86328125" style="77" bestFit="1" customWidth="1"/>
    <col min="14597" max="14597" width="12.1328125" style="77" bestFit="1" customWidth="1"/>
    <col min="14598" max="14598" width="12.3984375" style="77" bestFit="1" customWidth="1"/>
    <col min="14599" max="14600" width="13.86328125" style="77" bestFit="1" customWidth="1"/>
    <col min="14601" max="14601" width="14.86328125" style="77" bestFit="1" customWidth="1"/>
    <col min="14602" max="14840" width="9.1328125" style="77"/>
    <col min="14841" max="14841" width="15.3984375" style="77" bestFit="1" customWidth="1"/>
    <col min="14842" max="14842" width="11.1328125" style="77" bestFit="1" customWidth="1"/>
    <col min="14843" max="14843" width="14.59765625" style="77" bestFit="1" customWidth="1"/>
    <col min="14844" max="14844" width="17.3984375" style="77" bestFit="1" customWidth="1"/>
    <col min="14845" max="14845" width="17.59765625" style="77" bestFit="1" customWidth="1"/>
    <col min="14846" max="14846" width="14.73046875" style="77" bestFit="1" customWidth="1"/>
    <col min="14847" max="14847" width="14.3984375" style="77" bestFit="1" customWidth="1"/>
    <col min="14848" max="14848" width="12.1328125" style="77" bestFit="1" customWidth="1"/>
    <col min="14849" max="14849" width="12.3984375" style="77" bestFit="1" customWidth="1"/>
    <col min="14850" max="14851" width="13.86328125" style="77" bestFit="1" customWidth="1"/>
    <col min="14852" max="14852" width="14.86328125" style="77" bestFit="1" customWidth="1"/>
    <col min="14853" max="14853" width="12.1328125" style="77" bestFit="1" customWidth="1"/>
    <col min="14854" max="14854" width="12.3984375" style="77" bestFit="1" customWidth="1"/>
    <col min="14855" max="14856" width="13.86328125" style="77" bestFit="1" customWidth="1"/>
    <col min="14857" max="14857" width="14.86328125" style="77" bestFit="1" customWidth="1"/>
    <col min="14858" max="15096" width="9.1328125" style="77"/>
    <col min="15097" max="15097" width="15.3984375" style="77" bestFit="1" customWidth="1"/>
    <col min="15098" max="15098" width="11.1328125" style="77" bestFit="1" customWidth="1"/>
    <col min="15099" max="15099" width="14.59765625" style="77" bestFit="1" customWidth="1"/>
    <col min="15100" max="15100" width="17.3984375" style="77" bestFit="1" customWidth="1"/>
    <col min="15101" max="15101" width="17.59765625" style="77" bestFit="1" customWidth="1"/>
    <col min="15102" max="15102" width="14.73046875" style="77" bestFit="1" customWidth="1"/>
    <col min="15103" max="15103" width="14.3984375" style="77" bestFit="1" customWidth="1"/>
    <col min="15104" max="15104" width="12.1328125" style="77" bestFit="1" customWidth="1"/>
    <col min="15105" max="15105" width="12.3984375" style="77" bestFit="1" customWidth="1"/>
    <col min="15106" max="15107" width="13.86328125" style="77" bestFit="1" customWidth="1"/>
    <col min="15108" max="15108" width="14.86328125" style="77" bestFit="1" customWidth="1"/>
    <col min="15109" max="15109" width="12.1328125" style="77" bestFit="1" customWidth="1"/>
    <col min="15110" max="15110" width="12.3984375" style="77" bestFit="1" customWidth="1"/>
    <col min="15111" max="15112" width="13.86328125" style="77" bestFit="1" customWidth="1"/>
    <col min="15113" max="15113" width="14.86328125" style="77" bestFit="1" customWidth="1"/>
    <col min="15114" max="15352" width="9.1328125" style="77"/>
    <col min="15353" max="15353" width="15.3984375" style="77" bestFit="1" customWidth="1"/>
    <col min="15354" max="15354" width="11.1328125" style="77" bestFit="1" customWidth="1"/>
    <col min="15355" max="15355" width="14.59765625" style="77" bestFit="1" customWidth="1"/>
    <col min="15356" max="15356" width="17.3984375" style="77" bestFit="1" customWidth="1"/>
    <col min="15357" max="15357" width="17.59765625" style="77" bestFit="1" customWidth="1"/>
    <col min="15358" max="15358" width="14.73046875" style="77" bestFit="1" customWidth="1"/>
    <col min="15359" max="15359" width="14.3984375" style="77" bestFit="1" customWidth="1"/>
    <col min="15360" max="15360" width="12.1328125" style="77" bestFit="1" customWidth="1"/>
    <col min="15361" max="15361" width="12.3984375" style="77" bestFit="1" customWidth="1"/>
    <col min="15362" max="15363" width="13.86328125" style="77" bestFit="1" customWidth="1"/>
    <col min="15364" max="15364" width="14.86328125" style="77" bestFit="1" customWidth="1"/>
    <col min="15365" max="15365" width="12.1328125" style="77" bestFit="1" customWidth="1"/>
    <col min="15366" max="15366" width="12.3984375" style="77" bestFit="1" customWidth="1"/>
    <col min="15367" max="15368" width="13.86328125" style="77" bestFit="1" customWidth="1"/>
    <col min="15369" max="15369" width="14.86328125" style="77" bestFit="1" customWidth="1"/>
    <col min="15370" max="15608" width="9.1328125" style="77"/>
    <col min="15609" max="15609" width="15.3984375" style="77" bestFit="1" customWidth="1"/>
    <col min="15610" max="15610" width="11.1328125" style="77" bestFit="1" customWidth="1"/>
    <col min="15611" max="15611" width="14.59765625" style="77" bestFit="1" customWidth="1"/>
    <col min="15612" max="15612" width="17.3984375" style="77" bestFit="1" customWidth="1"/>
    <col min="15613" max="15613" width="17.59765625" style="77" bestFit="1" customWidth="1"/>
    <col min="15614" max="15614" width="14.73046875" style="77" bestFit="1" customWidth="1"/>
    <col min="15615" max="15615" width="14.3984375" style="77" bestFit="1" customWidth="1"/>
    <col min="15616" max="15616" width="12.1328125" style="77" bestFit="1" customWidth="1"/>
    <col min="15617" max="15617" width="12.3984375" style="77" bestFit="1" customWidth="1"/>
    <col min="15618" max="15619" width="13.86328125" style="77" bestFit="1" customWidth="1"/>
    <col min="15620" max="15620" width="14.86328125" style="77" bestFit="1" customWidth="1"/>
    <col min="15621" max="15621" width="12.1328125" style="77" bestFit="1" customWidth="1"/>
    <col min="15622" max="15622" width="12.3984375" style="77" bestFit="1" customWidth="1"/>
    <col min="15623" max="15624" width="13.86328125" style="77" bestFit="1" customWidth="1"/>
    <col min="15625" max="15625" width="14.86328125" style="77" bestFit="1" customWidth="1"/>
    <col min="15626" max="15864" width="9.1328125" style="77"/>
    <col min="15865" max="15865" width="15.3984375" style="77" bestFit="1" customWidth="1"/>
    <col min="15866" max="15866" width="11.1328125" style="77" bestFit="1" customWidth="1"/>
    <col min="15867" max="15867" width="14.59765625" style="77" bestFit="1" customWidth="1"/>
    <col min="15868" max="15868" width="17.3984375" style="77" bestFit="1" customWidth="1"/>
    <col min="15869" max="15869" width="17.59765625" style="77" bestFit="1" customWidth="1"/>
    <col min="15870" max="15870" width="14.73046875" style="77" bestFit="1" customWidth="1"/>
    <col min="15871" max="15871" width="14.3984375" style="77" bestFit="1" customWidth="1"/>
    <col min="15872" max="15872" width="12.1328125" style="77" bestFit="1" customWidth="1"/>
    <col min="15873" max="15873" width="12.3984375" style="77" bestFit="1" customWidth="1"/>
    <col min="15874" max="15875" width="13.86328125" style="77" bestFit="1" customWidth="1"/>
    <col min="15876" max="15876" width="14.86328125" style="77" bestFit="1" customWidth="1"/>
    <col min="15877" max="15877" width="12.1328125" style="77" bestFit="1" customWidth="1"/>
    <col min="15878" max="15878" width="12.3984375" style="77" bestFit="1" customWidth="1"/>
    <col min="15879" max="15880" width="13.86328125" style="77" bestFit="1" customWidth="1"/>
    <col min="15881" max="15881" width="14.86328125" style="77" bestFit="1" customWidth="1"/>
    <col min="15882" max="16120" width="9.1328125" style="77"/>
    <col min="16121" max="16121" width="15.3984375" style="77" bestFit="1" customWidth="1"/>
    <col min="16122" max="16122" width="11.1328125" style="77" bestFit="1" customWidth="1"/>
    <col min="16123" max="16123" width="14.59765625" style="77" bestFit="1" customWidth="1"/>
    <col min="16124" max="16124" width="17.3984375" style="77" bestFit="1" customWidth="1"/>
    <col min="16125" max="16125" width="17.59765625" style="77" bestFit="1" customWidth="1"/>
    <col min="16126" max="16126" width="14.73046875" style="77" bestFit="1" customWidth="1"/>
    <col min="16127" max="16127" width="14.3984375" style="77" bestFit="1" customWidth="1"/>
    <col min="16128" max="16128" width="12.1328125" style="77" bestFit="1" customWidth="1"/>
    <col min="16129" max="16129" width="12.3984375" style="77" bestFit="1" customWidth="1"/>
    <col min="16130" max="16131" width="13.86328125" style="77" bestFit="1" customWidth="1"/>
    <col min="16132" max="16132" width="14.86328125" style="77" bestFit="1" customWidth="1"/>
    <col min="16133" max="16133" width="12.1328125" style="77" bestFit="1" customWidth="1"/>
    <col min="16134" max="16134" width="12.3984375" style="77" bestFit="1" customWidth="1"/>
    <col min="16135" max="16136" width="13.86328125" style="77" bestFit="1" customWidth="1"/>
    <col min="16137" max="16137" width="14.86328125" style="77" bestFit="1" customWidth="1"/>
    <col min="16138" max="16378" width="9.1328125" style="77"/>
    <col min="16379" max="16384" width="9.1328125" style="77" customWidth="1"/>
  </cols>
  <sheetData>
    <row r="1" spans="1:18">
      <c r="A1" s="86" t="s">
        <v>323</v>
      </c>
      <c r="B1" s="87" t="s">
        <v>324</v>
      </c>
      <c r="C1" s="76" t="s">
        <v>198</v>
      </c>
      <c r="D1" s="76" t="s">
        <v>200</v>
      </c>
      <c r="E1" s="76" t="s">
        <v>199</v>
      </c>
      <c r="F1" s="76" t="s">
        <v>201</v>
      </c>
      <c r="G1" s="76" t="s">
        <v>213</v>
      </c>
      <c r="H1" s="76" t="s">
        <v>214</v>
      </c>
      <c r="I1" s="76" t="s">
        <v>202</v>
      </c>
      <c r="J1" s="76" t="s">
        <v>204</v>
      </c>
      <c r="K1" s="76" t="s">
        <v>205</v>
      </c>
      <c r="L1" s="76" t="s">
        <v>206</v>
      </c>
      <c r="M1" s="76" t="s">
        <v>203</v>
      </c>
      <c r="N1" s="76" t="s">
        <v>207</v>
      </c>
      <c r="O1" s="76" t="s">
        <v>209</v>
      </c>
      <c r="P1" s="76" t="s">
        <v>210</v>
      </c>
      <c r="Q1" s="76" t="s">
        <v>211</v>
      </c>
      <c r="R1" s="76" t="s">
        <v>208</v>
      </c>
    </row>
    <row r="2" spans="1:18">
      <c r="A2" s="78" t="s">
        <v>5</v>
      </c>
      <c r="B2" s="76" t="s">
        <v>6</v>
      </c>
      <c r="C2" s="79">
        <f>IFERROR((d_DL/(Rad_Spec!X2*d_IFDres_adj))*1,".")</f>
        <v>0.13146769216860105</v>
      </c>
      <c r="D2" s="79">
        <f>IFERROR((d_DL/(Rad_Spec!AN2*d_IFAres_adj*(1/d_PEFm_pp)*d_SLF*(d_ET_res_o+d_ET_res_i)*(1/24)))*1,".")</f>
        <v>1.752350893679142E-5</v>
      </c>
      <c r="E2" s="79">
        <f>IFERROR((d_DL/(Rad_Spec!AN2*d_IFAres_adj*(1/d_PEF)*d_SLF*(d_ET_res_o+d_ET_res_i)*(1/24)))*1,".")</f>
        <v>1.2811309333349327E-2</v>
      </c>
      <c r="F2" s="79">
        <f>IFERROR((d_DL/(Rad_Spec!AY2*d_Fam*d_Foffset*acf!C2*d_EF_res*(1/365)*((d_ET_res_o*d_GSF_s)+(d_ET_res_i*d_GSF_i))*(1/24)))*1,".")</f>
        <v>195.13810575987065</v>
      </c>
      <c r="G2" s="79">
        <f t="shared" ref="G2" si="0">(IF(AND(C2&lt;&gt;".",E2&lt;&gt;".",F2&lt;&gt;"."),1/((1/C2)+(1/E2)+(1/F2)),IF(AND(C2&lt;&gt;".",E2&lt;&gt;".",F2="."), 1/((1/C2)+(1/E2)),IF(AND(C2&lt;&gt;".",E2=".",F2&lt;&gt;"."),1/((1/C2)+(1/F2)),IF(AND(C2=".",E2&lt;&gt;".",F2&lt;&gt;"."),1/((1/E2)+(1/F2)),IF(AND(C2&lt;&gt;".",E2=".",F2="."),1/(1/C2),IF(AND(C2=".",E2&lt;&gt;".",F2="."),1/(1/E2),IF(AND(C2=".",E2=".",F2&lt;&gt;"."),1/(1/F2),IF(AND(C2=".",E2=".",F2="."),".")))))))))</f>
        <v>1.1673025888205837E-2</v>
      </c>
      <c r="H2" s="79">
        <f t="shared" ref="H2" si="1">(IF(AND(C2&lt;&gt;".",D2&lt;&gt;".",F2&lt;&gt;"."),1/((1/C2)+(1/D2)+(1/F2)),IF(AND(C2&lt;&gt;".",D2&lt;&gt;".",F2="."), 1/((1/C2)+(1/D2)),IF(AND(C2&lt;&gt;".",D2=".",F2&lt;&gt;"."),1/((1/C2)+(1/F2)),IF(AND(C2=".",D2&lt;&gt;".",F2&lt;&gt;"."),1/((1/D2)+(1/F2)),IF(AND(C2&lt;&gt;".",D2=".",F2="."),1/(1/C2),IF(AND(C2=".",D2&lt;&gt;".",F2="."),1/(1/D2),IF(AND(C2=".",D2=".",F2&lt;&gt;"."),1/(1/F2),IF(AND(C2=".",D2=".",F2="."),".")))))))))</f>
        <v>1.7521171942350119E-5</v>
      </c>
      <c r="I2" s="80">
        <f>IFERROR((d_DL/(Rad_Spec!AV2*d_Fam*d_Foffset*Fsurf!C2*d_EF_res*(1/365)*((d_ET_res_o*d_GSF_s)+(d_ET_res_i*d_GSF_i))*(1/24)))*1,".")</f>
        <v>40.425576941495841</v>
      </c>
      <c r="J2" s="79">
        <f>IFERROR((d_DL/(Rad_Spec!AZ2*d_Fam*d_Foffset*Fsurf!C2*d_EF_res*(1/365)*((d_ET_res_o*d_GSF_s)+(d_ET_res_i*d_GSF_i))*(1/24)))*1,".")</f>
        <v>146.48448494805791</v>
      </c>
      <c r="K2" s="79">
        <f>IFERROR((d_DL/(Rad_Spec!BA2*d_Fam*d_Foffset*Fsurf!C2*d_EF_res*(1/365)*((d_ET_res_o*d_GSF_s)+(d_ET_res_i*d_GSF_i))*(1/24)))*1,".")</f>
        <v>56.08057977668296</v>
      </c>
      <c r="L2" s="79">
        <f>IFERROR((d_DL/(Rad_Spec!BB2*d_Fam*d_Foffset*Fsurf!C2*d_EF_res*(1/365)*((d_ET_res_o*d_GSF_s)+(d_ET_res_i*d_GSF_i))*(1/24)))*1,".")</f>
        <v>41.601593725248449</v>
      </c>
      <c r="M2" s="79">
        <f>IFERROR((d_DL/(Rad_Spec!AY2*d_Fam*d_Foffset*Fsurf!C2*d_EF_res*(1/365)*((d_ET_res_o*d_GSF_s)+(d_ET_res_i*d_GSF_i))*(1/24)))*1,".")</f>
        <v>138.4940424129671</v>
      </c>
      <c r="N2" s="79">
        <f>IFERROR((d_DL/(Rad_Spec!AV2*d_Fam*d_Foffset*acf!D2*d_EF_res*(1/365)*((d_ET_res_o*d_GSF_s)+(d_ET_res_i*d_GSF_i))*(1/24)))*1,".")</f>
        <v>56.959637910567643</v>
      </c>
      <c r="O2" s="79">
        <f>IFERROR((d_DL/(Rad_Spec!AZ2*d_Fam*d_Foffset*acf!E2*d_EF_res*(1/365)*((d_ET_res_o*d_GSF_s)+(d_ET_res_i*d_GSF_i))*(1/24)))*1,".")</f>
        <v>206.39663929181359</v>
      </c>
      <c r="P2" s="79">
        <f>IFERROR((d_DL/(Rad_Spec!BA2*d_Fam*d_Foffset*acf!F2*d_EF_res*(1/365)*((d_ET_res_o*d_GSF_s)+(d_ET_res_i*d_GSF_i))*(1/24)))*1,".")</f>
        <v>79.01753690534629</v>
      </c>
      <c r="Q2" s="79">
        <f>IFERROR((d_DL/(Rad_Spec!BB2*d_Fam*d_Foffset*acf!G2*d_EF_res*(1/365)*((d_ET_res_o*d_GSF_s)+(d_ET_res_i*d_GSF_i))*(1/24)))*1,".")</f>
        <v>58.616645558875071</v>
      </c>
      <c r="R2" s="79">
        <f>IFERROR((d_DL/(Rad_Spec!AY2*d_Fam*d_Foffset*acf!C2*d_EF_res*(1/365)*((d_ET_res_o*d_GSF_s)+(d_ET_res_i*d_GSF_i))*(1/24)))*1,".")</f>
        <v>195.13810575987065</v>
      </c>
    </row>
    <row r="3" spans="1:18">
      <c r="A3" s="81" t="s">
        <v>7</v>
      </c>
      <c r="B3" s="76" t="s">
        <v>8</v>
      </c>
      <c r="C3" s="79">
        <f>IFERROR((d_DL/(Rad_Spec!X3*d_IFDres_adj))*1,".")</f>
        <v>2.8889749161419474E-2</v>
      </c>
      <c r="D3" s="79">
        <f>IFERROR((d_DL/(Rad_Spec!AN3*d_IFAres_adj*(1/d_PEFm_pp)*d_SLF*(d_ET_res_o+d_ET_res_i)*(1/24)))*1,".")</f>
        <v>1.6398145977547932E-6</v>
      </c>
      <c r="E3" s="79">
        <f>IFERROR((d_DL/(Rad_Spec!AN3*d_IFAres_adj*(1/d_PEF)*d_SLF*(d_ET_res_o+d_ET_res_i)*(1/24)))*1,".")</f>
        <v>1.1988564697262675E-3</v>
      </c>
      <c r="F3" s="79">
        <f>IFERROR((d_DL/(Rad_Spec!AY3*d_Fam*d_Foffset*acf!C3*d_EF_res*(1/365)*((d_ET_res_o*d_GSF_s)+(d_ET_res_i*d_GSF_i))*(1/24)))*1,".")</f>
        <v>118.15701816652719</v>
      </c>
      <c r="G3" s="79">
        <f t="shared" ref="G3:G12" si="2">(IF(AND(C3&lt;&gt;".",E3&lt;&gt;".",F3&lt;&gt;"."),1/((1/C3)+(1/E3)+(1/F3)),IF(AND(C3&lt;&gt;".",E3&lt;&gt;".",F3="."), 1/((1/C3)+(1/E3)),IF(AND(C3&lt;&gt;".",E3=".",F3&lt;&gt;"."),1/((1/C3)+(1/F3)),IF(AND(C3=".",E3&lt;&gt;".",F3&lt;&gt;"."),1/((1/E3)+(1/F3)),IF(AND(C3&lt;&gt;".",E3=".",F3="."),1/(1/C3),IF(AND(C3=".",E3&lt;&gt;".",F3="."),1/(1/E3),IF(AND(C3=".",E3=".",F3&lt;&gt;"."),1/(1/F3),IF(AND(C3=".",E3=".",F3="."),".")))))))))</f>
        <v>1.1510777769813156E-3</v>
      </c>
      <c r="H3" s="79">
        <f t="shared" ref="H3:H12" si="3">(IF(AND(C3&lt;&gt;".",D3&lt;&gt;".",F3&lt;&gt;"."),1/((1/C3)+(1/D3)+(1/F3)),IF(AND(C3&lt;&gt;".",D3&lt;&gt;".",F3="."), 1/((1/C3)+(1/D3)),IF(AND(C3&lt;&gt;".",D3=".",F3&lt;&gt;"."),1/((1/C3)+(1/F3)),IF(AND(C3=".",D3&lt;&gt;".",F3&lt;&gt;"."),1/((1/D3)+(1/F3)),IF(AND(C3&lt;&gt;".",D3=".",F3="."),1/(1/C3),IF(AND(C3=".",D3&lt;&gt;".",F3="."),1/(1/D3),IF(AND(C3=".",D3=".",F3&lt;&gt;"."),1/(1/F3),IF(AND(C3=".",D3=".",F3="."),".")))))))))</f>
        <v>1.6397215025648526E-6</v>
      </c>
      <c r="I3" s="80">
        <f>IFERROR((d_DL/(Rad_Spec!AV3*d_Fam*d_Foffset*Fsurf!C3*d_EF_res*(1/365)*((d_ET_res_o*d_GSF_s)+(d_ET_res_i*d_GSF_i))*(1/24)))*1,".")</f>
        <v>58.149965652709497</v>
      </c>
      <c r="J3" s="79">
        <f>IFERROR((d_DL/(Rad_Spec!AZ3*d_Fam*d_Foffset*Fsurf!C3*d_EF_res*(1/365)*((d_ET_res_o*d_GSF_s)+(d_ET_res_i*d_GSF_i))*(1/24)))*1,".")</f>
        <v>118.08003229478767</v>
      </c>
      <c r="K3" s="79">
        <f>IFERROR((d_DL/(Rad_Spec!BA3*d_Fam*d_Foffset*Fsurf!C3*d_EF_res*(1/365)*((d_ET_res_o*d_GSF_s)+(d_ET_res_i*d_GSF_i))*(1/24)))*1,".")</f>
        <v>62.550503593995614</v>
      </c>
      <c r="L3" s="79">
        <f>IFERROR((d_DL/(Rad_Spec!BB3*d_Fam*d_Foffset*Fsurf!C3*d_EF_res*(1/365)*((d_ET_res_o*d_GSF_s)+(d_ET_res_i*d_GSF_i))*(1/24)))*1,".")</f>
        <v>58.149965652709497</v>
      </c>
      <c r="M3" s="79">
        <f>IFERROR((d_DL/(Rad_Spec!AY3*d_Fam*d_Foffset*Fsurf!C3*d_EF_res*(1/365)*((d_ET_res_o*d_GSF_s)+(d_ET_res_i*d_GSF_i))*(1/24)))*1,".")</f>
        <v>84.821980019043195</v>
      </c>
      <c r="N3" s="79">
        <f>IFERROR((d_DL/(Rad_Spec!AV3*d_Fam*d_Foffset*acf!D3*d_EF_res*(1/365)*((d_ET_res_o*d_GSF_s)+(d_ET_res_i*d_GSF_i))*(1/24)))*1,".")</f>
        <v>81.002902154224316</v>
      </c>
      <c r="O3" s="79">
        <f>IFERROR((d_DL/(Rad_Spec!AZ3*d_Fam*d_Foffset*acf!E3*d_EF_res*(1/365)*((d_ET_res_o*d_GSF_s)+(d_ET_res_i*d_GSF_i))*(1/24)))*1,".")</f>
        <v>164.48548498663916</v>
      </c>
      <c r="P3" s="79">
        <f>IFERROR((d_DL/(Rad_Spec!BA3*d_Fam*d_Foffset*acf!F3*d_EF_res*(1/365)*((d_ET_res_o*d_GSF_s)+(d_ET_res_i*d_GSF_i))*(1/24)))*1,".")</f>
        <v>87.132851506435898</v>
      </c>
      <c r="Q3" s="79">
        <f>IFERROR((d_DL/(Rad_Spec!BB3*d_Fam*d_Foffset*acf!G3*d_EF_res*(1/365)*((d_ET_res_o*d_GSF_s)+(d_ET_res_i*d_GSF_i))*(1/24)))*1,".")</f>
        <v>81.002902154224316</v>
      </c>
      <c r="R3" s="79">
        <f>IFERROR((d_DL/(Rad_Spec!AY3*d_Fam*d_Foffset*acf!C3*d_EF_res*(1/365)*((d_ET_res_o*d_GSF_s)+(d_ET_res_i*d_GSF_i))*(1/24)))*1,".")</f>
        <v>118.15701816652719</v>
      </c>
    </row>
    <row r="4" spans="1:18">
      <c r="A4" s="78" t="s">
        <v>9</v>
      </c>
      <c r="B4" s="88" t="s">
        <v>6</v>
      </c>
      <c r="C4" s="79" t="str">
        <f>IFERROR((d_DL/(Rad_Spec!X4*d_IFDres_adj))*1,".")</f>
        <v>.</v>
      </c>
      <c r="D4" s="79" t="str">
        <f>IFERROR((d_DL/(Rad_Spec!AN4*d_IFAres_adj*(1/d_PEFm_pp)*d_SLF*(d_ET_res_o+d_ET_res_i)*(1/24)))*1,".")</f>
        <v>.</v>
      </c>
      <c r="E4" s="79" t="str">
        <f>IFERROR((d_DL/(Rad_Spec!AN4*d_IFAres_adj*(1/d_PEF)*d_SLF*(d_ET_res_o+d_ET_res_i)*(1/24)))*1,".")</f>
        <v>.</v>
      </c>
      <c r="F4" s="79">
        <f>IFERROR((d_DL/(Rad_Spec!AY4*d_Fam*d_Foffset*acf!C4*d_EF_res*(1/365)*((d_ET_res_o*d_GSF_s)+(d_ET_res_i*d_GSF_i))*(1/24)))*1,".")</f>
        <v>11347.237867974856</v>
      </c>
      <c r="G4" s="79">
        <f t="shared" si="2"/>
        <v>11347.237867974856</v>
      </c>
      <c r="H4" s="79">
        <f t="shared" si="3"/>
        <v>11347.237867974856</v>
      </c>
      <c r="I4" s="80">
        <f>IFERROR((d_DL/(Rad_Spec!AV4*d_Fam*d_Foffset*Fsurf!C4*d_EF_res*(1/365)*((d_ET_res_o*d_GSF_s)+(d_ET_res_i*d_GSF_i))*(1/24)))*1,".")</f>
        <v>2094.4852691835763</v>
      </c>
      <c r="J4" s="79">
        <f>IFERROR((d_DL/(Rad_Spec!AZ4*d_Fam*d_Foffset*Fsurf!C4*d_EF_res*(1/365)*((d_ET_res_o*d_GSF_s)+(d_ET_res_i*d_GSF_i))*(1/24)))*1,".")</f>
        <v>9236.0982356359109</v>
      </c>
      <c r="K4" s="79">
        <f>IFERROR((d_DL/(Rad_Spec!BA4*d_Fam*d_Foffset*Fsurf!C4*d_EF_res*(1/365)*((d_ET_res_o*d_GSF_s)+(d_ET_res_i*d_GSF_i))*(1/24)))*1,".")</f>
        <v>3308.4530993322669</v>
      </c>
      <c r="L4" s="79">
        <f>IFERROR((d_DL/(Rad_Spec!BB4*d_Fam*d_Foffset*Fsurf!C4*d_EF_res*(1/365)*((d_ET_res_o*d_GSF_s)+(d_ET_res_i*d_GSF_i))*(1/24)))*1,".")</f>
        <v>2239.0541177299178</v>
      </c>
      <c r="M4" s="79">
        <f>IFERROR((d_DL/(Rad_Spec!AY4*d_Fam*d_Foffset*Fsurf!C4*d_EF_res*(1/365)*((d_ET_res_o*d_GSF_s)+(d_ET_res_i*d_GSF_i))*(1/24)))*1,".")</f>
        <v>9362.4074818274385</v>
      </c>
      <c r="N4" s="79">
        <f>IFERROR((d_DL/(Rad_Spec!AV4*d_Fam*d_Foffset*acf!D4*d_EF_res*(1/365)*((d_ET_res_o*d_GSF_s)+(d_ET_res_i*d_GSF_i))*(1/24)))*1,".")</f>
        <v>2538.5161462504948</v>
      </c>
      <c r="O4" s="79">
        <f>IFERROR((d_DL/(Rad_Spec!AZ4*d_Fam*d_Foffset*acf!E4*d_EF_res*(1/365)*((d_ET_res_o*d_GSF_s)+(d_ET_res_i*d_GSF_i))*(1/24)))*1,".")</f>
        <v>11194.151061590725</v>
      </c>
      <c r="P4" s="79">
        <f>IFERROR((d_DL/(Rad_Spec!BA4*d_Fam*d_Foffset*acf!F4*d_EF_res*(1/365)*((d_ET_res_o*d_GSF_s)+(d_ET_res_i*d_GSF_i))*(1/24)))*1,".")</f>
        <v>4009.845156390707</v>
      </c>
      <c r="Q4" s="79">
        <f>IFERROR((d_DL/(Rad_Spec!BB4*d_Fam*d_Foffset*acf!G4*d_EF_res*(1/365)*((d_ET_res_o*d_GSF_s)+(d_ET_res_i*d_GSF_i))*(1/24)))*1,".")</f>
        <v>2713.7335906886601</v>
      </c>
      <c r="R4" s="79">
        <f>IFERROR((d_DL/(Rad_Spec!AY4*d_Fam*d_Foffset*acf!C4*d_EF_res*(1/365)*((d_ET_res_o*d_GSF_s)+(d_ET_res_i*d_GSF_i))*(1/24)))*1,".")</f>
        <v>11347.237867974856</v>
      </c>
    </row>
    <row r="5" spans="1:18">
      <c r="A5" s="78" t="s">
        <v>10</v>
      </c>
      <c r="B5" s="88" t="s">
        <v>6</v>
      </c>
      <c r="C5" s="79" t="str">
        <f>IFERROR((d_DL/(Rad_Spec!X5*d_IFDres_adj))*1,".")</f>
        <v>.</v>
      </c>
      <c r="D5" s="79" t="str">
        <f>IFERROR((d_DL/(Rad_Spec!AN5*d_IFAres_adj*(1/d_PEFm_pp)*d_SLF*(d_ET_res_o+d_ET_res_i)*(1/24)))*1,".")</f>
        <v>.</v>
      </c>
      <c r="E5" s="79" t="str">
        <f>IFERROR((d_DL/(Rad_Spec!AN5*d_IFAres_adj*(1/d_PEF)*d_SLF*(d_ET_res_o+d_ET_res_i)*(1/24)))*1,".")</f>
        <v>.</v>
      </c>
      <c r="F5" s="79">
        <f>IFERROR((d_DL/(Rad_Spec!AY5*d_Fam*d_Foffset*acf!C5*d_EF_res*(1/365)*((d_ET_res_o*d_GSF_s)+(d_ET_res_i*d_GSF_i))*(1/24)))*1,".")</f>
        <v>22896.204409158152</v>
      </c>
      <c r="G5" s="79">
        <f t="shared" si="2"/>
        <v>22896.204409158152</v>
      </c>
      <c r="H5" s="79">
        <f t="shared" si="3"/>
        <v>22896.204409158152</v>
      </c>
      <c r="I5" s="80">
        <f>IFERROR((d_DL/(Rad_Spec!AV5*d_Fam*d_Foffset*Fsurf!C5*d_EF_res*(1/365)*((d_ET_res_o*d_GSF_s)+(d_ET_res_i*d_GSF_i))*(1/24)))*1,".")</f>
        <v>36182.302369622768</v>
      </c>
      <c r="J5" s="79">
        <f>IFERROR((d_DL/(Rad_Spec!AZ5*d_Fam*d_Foffset*Fsurf!C5*d_EF_res*(1/365)*((d_ET_res_o*d_GSF_s)+(d_ET_res_i*d_GSF_i))*(1/24)))*1,".")</f>
        <v>63800.746190222395</v>
      </c>
      <c r="K5" s="79">
        <f>IFERROR((d_DL/(Rad_Spec!BA5*d_Fam*d_Foffset*Fsurf!C5*d_EF_res*(1/365)*((d_ET_res_o*d_GSF_s)+(d_ET_res_i*d_GSF_i))*(1/24)))*1,".")</f>
        <v>45495.046861382223</v>
      </c>
      <c r="L5" s="79">
        <f>IFERROR((d_DL/(Rad_Spec!BB5*d_Fam*d_Foffset*Fsurf!C5*d_EF_res*(1/365)*((d_ET_res_o*d_GSF_s)+(d_ET_res_i*d_GSF_i))*(1/24)))*1,".")</f>
        <v>37700.440930585966</v>
      </c>
      <c r="M5" s="79">
        <f>IFERROR((d_DL/(Rad_Spec!AY5*d_Fam*d_Foffset*Fsurf!C5*d_EF_res*(1/365)*((d_ET_res_o*d_GSF_s)+(d_ET_res_i*d_GSF_i))*(1/24)))*1,".")</f>
        <v>13783.668206182167</v>
      </c>
      <c r="N5" s="79">
        <f>IFERROR((d_DL/(Rad_Spec!AV5*d_Fam*d_Foffset*acf!D5*d_EF_res*(1/365)*((d_ET_res_o*d_GSF_s)+(d_ET_res_i*d_GSF_i))*(1/24)))*1,".")</f>
        <v>60102.824491762265</v>
      </c>
      <c r="O5" s="79">
        <f>IFERROR((d_DL/(Rad_Spec!AZ5*d_Fam*d_Foffset*acf!E5*d_EF_res*(1/365)*((d_ET_res_o*d_GSF_s)+(d_ET_res_i*d_GSF_i))*(1/24)))*1,".")</f>
        <v>105980.12839375832</v>
      </c>
      <c r="P5" s="79">
        <f>IFERROR((d_DL/(Rad_Spec!BA5*d_Fam*d_Foffset*acf!F5*d_EF_res*(1/365)*((d_ET_res_o*d_GSF_s)+(d_ET_res_i*d_GSF_i))*(1/24)))*1,".")</f>
        <v>75572.327841962688</v>
      </c>
      <c r="Q5" s="79">
        <f>IFERROR((d_DL/(Rad_Spec!BB5*d_Fam*d_Foffset*acf!G5*d_EF_res*(1/365)*((d_ET_res_o*d_GSF_s)+(d_ET_res_i*d_GSF_i))*(1/24)))*1,".")</f>
        <v>62624.62132358447</v>
      </c>
      <c r="R5" s="79">
        <f>IFERROR((d_DL/(Rad_Spec!AY5*d_Fam*d_Foffset*acf!C5*d_EF_res*(1/365)*((d_ET_res_o*d_GSF_s)+(d_ET_res_i*d_GSF_i))*(1/24)))*1,".")</f>
        <v>22896.204409158152</v>
      </c>
    </row>
    <row r="6" spans="1:18">
      <c r="A6" s="78" t="s">
        <v>11</v>
      </c>
      <c r="B6" s="88" t="s">
        <v>6</v>
      </c>
      <c r="C6" s="79" t="str">
        <f>IFERROR((d_DL/(Rad_Spec!X6*d_IFDres_adj))*1,".")</f>
        <v>.</v>
      </c>
      <c r="D6" s="79" t="str">
        <f>IFERROR((d_DL/(Rad_Spec!AN6*d_IFAres_adj*(1/d_PEFm_pp)*d_SLF*(d_ET_res_o+d_ET_res_i)*(1/24)))*1,".")</f>
        <v>.</v>
      </c>
      <c r="E6" s="79" t="str">
        <f>IFERROR((d_DL/(Rad_Spec!AN6*d_IFAres_adj*(1/d_PEF)*d_SLF*(d_ET_res_o+d_ET_res_i)*(1/24)))*1,".")</f>
        <v>.</v>
      </c>
      <c r="F6" s="79">
        <f>IFERROR((d_DL/(Rad_Spec!AY6*d_Fam*d_Foffset*acf!C6*d_EF_res*(1/365)*((d_ET_res_o*d_GSF_s)+(d_ET_res_i*d_GSF_i))*(1/24)))*1,".")</f>
        <v>4.4641646378341289</v>
      </c>
      <c r="G6" s="79">
        <f t="shared" si="2"/>
        <v>4.4641646378341289</v>
      </c>
      <c r="H6" s="79">
        <f t="shared" si="3"/>
        <v>4.4641646378341289</v>
      </c>
      <c r="I6" s="80">
        <f>IFERROR((d_DL/(Rad_Spec!AV6*d_Fam*d_Foffset*Fsurf!C6*d_EF_res*(1/365)*((d_ET_res_o*d_GSF_s)+(d_ET_res_i*d_GSF_i))*(1/24)))*1,".")</f>
        <v>0.74839024693303513</v>
      </c>
      <c r="J6" s="79">
        <f>IFERROR((d_DL/(Rad_Spec!AZ6*d_Fam*d_Foffset*Fsurf!C6*d_EF_res*(1/365)*((d_ET_res_o*d_GSF_s)+(d_ET_res_i*d_GSF_i))*(1/24)))*1,".")</f>
        <v>3.762739852635538</v>
      </c>
      <c r="K6" s="79">
        <f>IFERROR((d_DL/(Rad_Spec!BA6*d_Fam*d_Foffset*Fsurf!C6*d_EF_res*(1/365)*((d_ET_res_o*d_GSF_s)+(d_ET_res_i*d_GSF_i))*(1/24)))*1,".")</f>
        <v>1.3151323756784399</v>
      </c>
      <c r="L6" s="79">
        <f>IFERROR((d_DL/(Rad_Spec!BB6*d_Fam*d_Foffset*Fsurf!C6*d_EF_res*(1/365)*((d_ET_res_o*d_GSF_s)+(d_ET_res_i*d_GSF_i))*(1/24)))*1,".")</f>
        <v>0.84135797947130031</v>
      </c>
      <c r="M6" s="79">
        <f>IFERROR((d_DL/(Rad_Spec!AY6*d_Fam*d_Foffset*Fsurf!C6*d_EF_res*(1/365)*((d_ET_res_o*d_GSF_s)+(d_ET_res_i*d_GSF_i))*(1/24)))*1,".")</f>
        <v>3.751398855322797</v>
      </c>
      <c r="N6" s="79">
        <f>IFERROR((d_DL/(Rad_Spec!AV6*d_Fam*d_Foffset*acf!D6*d_EF_res*(1/365)*((d_ET_res_o*d_GSF_s)+(d_ET_res_i*d_GSF_i))*(1/24)))*1,".")</f>
        <v>0.89058439385031174</v>
      </c>
      <c r="O6" s="79">
        <f>IFERROR((d_DL/(Rad_Spec!AZ6*d_Fam*d_Foffset*acf!E6*d_EF_res*(1/365)*((d_ET_res_o*d_GSF_s)+(d_ET_res_i*d_GSF_i))*(1/24)))*1,".")</f>
        <v>4.4776604246362899</v>
      </c>
      <c r="P6" s="79">
        <f>IFERROR((d_DL/(Rad_Spec!BA6*d_Fam*d_Foffset*acf!F6*d_EF_res*(1/365)*((d_ET_res_o*d_GSF_s)+(d_ET_res_i*d_GSF_i))*(1/24)))*1,".")</f>
        <v>1.565007527057344</v>
      </c>
      <c r="Q6" s="79">
        <f>IFERROR((d_DL/(Rad_Spec!BB6*d_Fam*d_Foffset*acf!G6*d_EF_res*(1/365)*((d_ET_res_o*d_GSF_s)+(d_ET_res_i*d_GSF_i))*(1/24)))*1,".")</f>
        <v>1.0012159955708473</v>
      </c>
      <c r="R6" s="79">
        <f>IFERROR((d_DL/(Rad_Spec!AY6*d_Fam*d_Foffset*acf!C6*d_EF_res*(1/365)*((d_ET_res_o*d_GSF_s)+(d_ET_res_i*d_GSF_i))*(1/24)))*1,".")</f>
        <v>4.4641646378341289</v>
      </c>
    </row>
    <row r="7" spans="1:18">
      <c r="A7" s="78" t="s">
        <v>12</v>
      </c>
      <c r="B7" s="88" t="s">
        <v>6</v>
      </c>
      <c r="C7" s="79">
        <f>IFERROR((d_DL/(Rad_Spec!X7*d_IFDres_adj))*1,".")</f>
        <v>3.8198668335654644</v>
      </c>
      <c r="D7" s="79">
        <f>IFERROR((d_DL/(Rad_Spec!AN7*d_IFAres_adj*(1/d_PEFm_pp)*d_SLF*(d_ET_res_o+d_ET_res_i)*(1/24)))*1,".")</f>
        <v>1.1018206304092141E-3</v>
      </c>
      <c r="E7" s="79">
        <f>IFERROR((d_DL/(Rad_Spec!AN7*d_IFAres_adj*(1/d_PEF)*d_SLF*(d_ET_res_o+d_ET_res_i)*(1/24)))*1,".")</f>
        <v>0.80553301150785528</v>
      </c>
      <c r="F7" s="79">
        <f>IFERROR((d_DL/(Rad_Spec!AY7*d_Fam*d_Foffset*acf!C7*d_EF_res*(1/365)*((d_ET_res_o*d_GSF_s)+(d_ET_res_i*d_GSF_i))*(1/24)))*1,".")</f>
        <v>73.385270542173572</v>
      </c>
      <c r="G7" s="79">
        <f t="shared" si="2"/>
        <v>0.65926966293875788</v>
      </c>
      <c r="H7" s="79">
        <f t="shared" si="3"/>
        <v>1.1014863744902093E-3</v>
      </c>
      <c r="I7" s="80">
        <f>IFERROR((d_DL/(Rad_Spec!AV7*d_Fam*d_Foffset*Fsurf!C7*d_EF_res*(1/365)*((d_ET_res_o*d_GSF_s)+(d_ET_res_i*d_GSF_i))*(1/24)))*1,".")</f>
        <v>438.72107627443762</v>
      </c>
      <c r="J7" s="79">
        <f>IFERROR((d_DL/(Rad_Spec!AZ7*d_Fam*d_Foffset*Fsurf!C7*d_EF_res*(1/365)*((d_ET_res_o*d_GSF_s)+(d_ET_res_i*d_GSF_i))*(1/24)))*1,".")</f>
        <v>765.15044850244158</v>
      </c>
      <c r="K7" s="79">
        <f>IFERROR((d_DL/(Rad_Spec!BA7*d_Fam*d_Foffset*Fsurf!C7*d_EF_res*(1/365)*((d_ET_res_o*d_GSF_s)+(d_ET_res_i*d_GSF_i))*(1/24)))*1,".")</f>
        <v>528.99290266835476</v>
      </c>
      <c r="L7" s="79">
        <f>IFERROR((d_DL/(Rad_Spec!BB7*d_Fam*d_Foffset*Fsurf!C7*d_EF_res*(1/365)*((d_ET_res_o*d_GSF_s)+(d_ET_res_i*d_GSF_i))*(1/24)))*1,".")</f>
        <v>447.89294546484399</v>
      </c>
      <c r="M7" s="79">
        <f>IFERROR((d_DL/(Rad_Spec!AY7*d_Fam*d_Foffset*Fsurf!C7*d_EF_res*(1/365)*((d_ET_res_o*d_GSF_s)+(d_ET_res_i*d_GSF_i))*(1/24)))*1,".")</f>
        <v>58.520949395672702</v>
      </c>
      <c r="N7" s="79">
        <f>IFERROR((d_DL/(Rad_Spec!AV7*d_Fam*d_Foffset*acf!D7*d_EF_res*(1/365)*((d_ET_res_o*d_GSF_s)+(d_ET_res_i*d_GSF_i))*(1/24)))*1,".")</f>
        <v>550.15622964814474</v>
      </c>
      <c r="O7" s="79">
        <f>IFERROR((d_DL/(Rad_Spec!AZ7*d_Fam*d_Foffset*acf!E7*d_EF_res*(1/365)*((d_ET_res_o*d_GSF_s)+(d_ET_res_i*d_GSF_i))*(1/24)))*1,".")</f>
        <v>959.49866242206213</v>
      </c>
      <c r="P7" s="79">
        <f>IFERROR((d_DL/(Rad_Spec!BA7*d_Fam*d_Foffset*acf!F7*d_EF_res*(1/365)*((d_ET_res_o*d_GSF_s)+(d_ET_res_i*d_GSF_i))*(1/24)))*1,".")</f>
        <v>663.35709994611682</v>
      </c>
      <c r="Q7" s="79">
        <f>IFERROR((d_DL/(Rad_Spec!BB7*d_Fam*d_Foffset*acf!G7*d_EF_res*(1/365)*((d_ET_res_o*d_GSF_s)+(d_ET_res_i*d_GSF_i))*(1/24)))*1,".")</f>
        <v>561.65775361291435</v>
      </c>
      <c r="R7" s="79">
        <f>IFERROR((d_DL/(Rad_Spec!AY7*d_Fam*d_Foffset*acf!C7*d_EF_res*(1/365)*((d_ET_res_o*d_GSF_s)+(d_ET_res_i*d_GSF_i))*(1/24)))*1,".")</f>
        <v>73.385270542173572</v>
      </c>
    </row>
    <row r="8" spans="1:18">
      <c r="A8" s="78" t="s">
        <v>13</v>
      </c>
      <c r="B8" s="88" t="s">
        <v>6</v>
      </c>
      <c r="C8" s="79">
        <f>IFERROR((d_DL/(Rad_Spec!X8*d_IFDres_adj))*1,".")</f>
        <v>25.655822016484464</v>
      </c>
      <c r="D8" s="79">
        <f>IFERROR((d_DL/(Rad_Spec!AN8*d_IFAres_adj*(1/d_PEFm_pp)*d_SLF*(d_ET_res_o+d_ET_res_i)*(1/24)))*1,".")</f>
        <v>4.531431325063247E-3</v>
      </c>
      <c r="E8" s="79">
        <f>IFERROR((d_DL/(Rad_Spec!AN8*d_IFAres_adj*(1/d_PEF)*d_SLF*(d_ET_res_o+d_ET_res_i)*(1/24)))*1,".")</f>
        <v>3.3128963290182218</v>
      </c>
      <c r="F8" s="79">
        <f>IFERROR((d_DL/(Rad_Spec!AY8*d_Fam*d_Foffset*acf!C8*d_EF_res*(1/365)*((d_ET_res_o*d_GSF_s)+(d_ET_res_i*d_GSF_i))*(1/24)))*1,".")</f>
        <v>15.706237780672517</v>
      </c>
      <c r="G8" s="79">
        <f t="shared" si="2"/>
        <v>2.4722052686580946</v>
      </c>
      <c r="H8" s="79">
        <f t="shared" si="3"/>
        <v>4.5293245755498503E-3</v>
      </c>
      <c r="I8" s="80">
        <f>IFERROR((d_DL/(Rad_Spec!AV8*d_Fam*d_Foffset*Fsurf!C8*d_EF_res*(1/365)*((d_ET_res_o*d_GSF_s)+(d_ET_res_i*d_GSF_i))*(1/24)))*1,".")</f>
        <v>3.6111459032336817</v>
      </c>
      <c r="J8" s="79">
        <f>IFERROR((d_DL/(Rad_Spec!AZ8*d_Fam*d_Foffset*Fsurf!C8*d_EF_res*(1/365)*((d_ET_res_o*d_GSF_s)+(d_ET_res_i*d_GSF_i))*(1/24)))*1,".")</f>
        <v>16.715744558364719</v>
      </c>
      <c r="K8" s="79">
        <f>IFERROR((d_DL/(Rad_Spec!BA8*d_Fam*d_Foffset*Fsurf!C8*d_EF_res*(1/365)*((d_ET_res_o*d_GSF_s)+(d_ET_res_i*d_GSF_i))*(1/24)))*1,".")</f>
        <v>5.986043659414392</v>
      </c>
      <c r="L8" s="79">
        <f>IFERROR((d_DL/(Rad_Spec!BB8*d_Fam*d_Foffset*Fsurf!C8*d_EF_res*(1/365)*((d_ET_res_o*d_GSF_s)+(d_ET_res_i*d_GSF_i))*(1/24)))*1,".")</f>
        <v>3.9433284640652686</v>
      </c>
      <c r="M8" s="79">
        <f>IFERROR((d_DL/(Rad_Spec!AY8*d_Fam*d_Foffset*Fsurf!C8*d_EF_res*(1/365)*((d_ET_res_o*d_GSF_s)+(d_ET_res_i*d_GSF_i))*(1/24)))*1,".")</f>
        <v>12.948258681510728</v>
      </c>
      <c r="N8" s="79">
        <f>IFERROR((d_DL/(Rad_Spec!AV8*d_Fam*d_Foffset*acf!D8*d_EF_res*(1/365)*((d_ET_res_o*d_GSF_s)+(d_ET_res_i*d_GSF_i))*(1/24)))*1,".")</f>
        <v>4.3803199806224562</v>
      </c>
      <c r="O8" s="79">
        <f>IFERROR((d_DL/(Rad_Spec!AZ8*d_Fam*d_Foffset*acf!E8*d_EF_res*(1/365)*((d_ET_res_o*d_GSF_s)+(d_ET_res_i*d_GSF_i))*(1/24)))*1,".")</f>
        <v>20.276198149296402</v>
      </c>
      <c r="P8" s="79">
        <f>IFERROR((d_DL/(Rad_Spec!BA8*d_Fam*d_Foffset*acf!F8*d_EF_res*(1/365)*((d_ET_res_o*d_GSF_s)+(d_ET_res_i*d_GSF_i))*(1/24)))*1,".")</f>
        <v>7.2610709588696594</v>
      </c>
      <c r="Q8" s="79">
        <f>IFERROR((d_DL/(Rad_Spec!BB8*d_Fam*d_Foffset*acf!G8*d_EF_res*(1/365)*((d_ET_res_o*d_GSF_s)+(d_ET_res_i*d_GSF_i))*(1/24)))*1,".")</f>
        <v>4.7832574269111703</v>
      </c>
      <c r="R8" s="79">
        <f>IFERROR((d_DL/(Rad_Spec!AY8*d_Fam*d_Foffset*acf!C8*d_EF_res*(1/365)*((d_ET_res_o*d_GSF_s)+(d_ET_res_i*d_GSF_i))*(1/24)))*1,".")</f>
        <v>15.706237780672517</v>
      </c>
    </row>
    <row r="9" spans="1:18">
      <c r="A9" s="78" t="s">
        <v>14</v>
      </c>
      <c r="B9" s="88" t="s">
        <v>6</v>
      </c>
      <c r="C9" s="79">
        <f>IFERROR((d_DL/(Rad_Spec!X9*d_IFDres_adj))*1,".")</f>
        <v>46.14604228468346</v>
      </c>
      <c r="D9" s="79">
        <f>IFERROR((d_DL/(Rad_Spec!AN9*d_IFAres_adj*(1/d_PEFm_pp)*d_SLF*(d_ET_res_o+d_ET_res_i)*(1/24)))*1,".")</f>
        <v>1.6262390834619056E-2</v>
      </c>
      <c r="E9" s="79">
        <f>IFERROR((d_DL/(Rad_Spec!AN9*d_IFAres_adj*(1/d_PEF)*d_SLF*(d_ET_res_o+d_ET_res_i)*(1/24)))*1,".")</f>
        <v>11.889315104277138</v>
      </c>
      <c r="F9" s="79">
        <f>IFERROR((d_DL/(Rad_Spec!AY9*d_Fam*d_Foffset*acf!C9*d_EF_res*(1/365)*((d_ET_res_o*d_GSF_s)+(d_ET_res_i*d_GSF_i))*(1/24)))*1,".")</f>
        <v>1.8139598563593609</v>
      </c>
      <c r="G9" s="79">
        <f t="shared" si="2"/>
        <v>1.52193199665107</v>
      </c>
      <c r="H9" s="79">
        <f t="shared" si="3"/>
        <v>1.6112264103382682E-2</v>
      </c>
      <c r="I9" s="80">
        <f>IFERROR((d_DL/(Rad_Spec!AV9*d_Fam*d_Foffset*Fsurf!C9*d_EF_res*(1/365)*((d_ET_res_o*d_GSF_s)+(d_ET_res_i*d_GSF_i))*(1/24)))*1,".")</f>
        <v>0.28540581146594146</v>
      </c>
      <c r="J9" s="79">
        <f>IFERROR((d_DL/(Rad_Spec!AZ9*d_Fam*d_Foffset*Fsurf!C9*d_EF_res*(1/365)*((d_ET_res_o*d_GSF_s)+(d_ET_res_i*d_GSF_i))*(1/24)))*1,".")</f>
        <v>1.6004981858583189</v>
      </c>
      <c r="K9" s="79">
        <f>IFERROR((d_DL/(Rad_Spec!BA9*d_Fam*d_Foffset*Fsurf!C9*d_EF_res*(1/365)*((d_ET_res_o*d_GSF_s)+(d_ET_res_i*d_GSF_i))*(1/24)))*1,".")</f>
        <v>0.55382318177319589</v>
      </c>
      <c r="L9" s="79">
        <f>IFERROR((d_DL/(Rad_Spec!BB9*d_Fam*d_Foffset*Fsurf!C9*d_EF_res*(1/365)*((d_ET_res_o*d_GSF_s)+(d_ET_res_i*d_GSF_i))*(1/24)))*1,".")</f>
        <v>0.34206725933050341</v>
      </c>
      <c r="M9" s="79">
        <f>IFERROR((d_DL/(Rad_Spec!AY9*d_Fam*d_Foffset*Fsurf!C9*d_EF_res*(1/365)*((d_ET_res_o*d_GSF_s)+(d_ET_res_i*d_GSF_i))*(1/24)))*1,".")</f>
        <v>1.5705280141639488</v>
      </c>
      <c r="N9" s="79">
        <f>IFERROR((d_DL/(Rad_Spec!AV9*d_Fam*d_Foffset*acf!D9*d_EF_res*(1/365)*((d_ET_res_o*d_GSF_s)+(d_ET_res_i*d_GSF_i))*(1/24)))*1,".")</f>
        <v>0.32964371224316241</v>
      </c>
      <c r="O9" s="79">
        <f>IFERROR((d_DL/(Rad_Spec!AZ9*d_Fam*d_Foffset*acf!E9*d_EF_res*(1/365)*((d_ET_res_o*d_GSF_s)+(d_ET_res_i*d_GSF_i))*(1/24)))*1,".")</f>
        <v>1.8485754046663581</v>
      </c>
      <c r="P9" s="79">
        <f>IFERROR((d_DL/(Rad_Spec!BA9*d_Fam*d_Foffset*acf!F9*d_EF_res*(1/365)*((d_ET_res_o*d_GSF_s)+(d_ET_res_i*d_GSF_i))*(1/24)))*1,".")</f>
        <v>0.63966577494804122</v>
      </c>
      <c r="Q9" s="79">
        <f>IFERROR((d_DL/(Rad_Spec!BB9*d_Fam*d_Foffset*acf!G9*d_EF_res*(1/365)*((d_ET_res_o*d_GSF_s)+(d_ET_res_i*d_GSF_i))*(1/24)))*1,".")</f>
        <v>0.39508768452673143</v>
      </c>
      <c r="R9" s="79">
        <f>IFERROR((d_DL/(Rad_Spec!AY9*d_Fam*d_Foffset*acf!C9*d_EF_res*(1/365)*((d_ET_res_o*d_GSF_s)+(d_ET_res_i*d_GSF_i))*(1/24)))*1,".")</f>
        <v>1.8139598563593609</v>
      </c>
    </row>
    <row r="10" spans="1:18">
      <c r="A10" s="81" t="s">
        <v>15</v>
      </c>
      <c r="B10" s="88" t="s">
        <v>8</v>
      </c>
      <c r="C10" s="79">
        <f>IFERROR((d_DL/(Rad_Spec!X10*d_IFDres_adj))*1,".")</f>
        <v>0.51697445867803271</v>
      </c>
      <c r="D10" s="79">
        <f>IFERROR((d_DL/(Rad_Spec!AN10*d_IFAres_adj*(1/d_PEFm_pp)*d_SLF*(d_ET_res_o+d_ET_res_i)*(1/24)))*1,".")</f>
        <v>3.857693334286458E-3</v>
      </c>
      <c r="E10" s="79">
        <f>IFERROR((d_DL/(Rad_Spec!AN10*d_IFAres_adj*(1/d_PEF)*d_SLF*(d_ET_res_o+d_ET_res_i)*(1/24)))*1,".")</f>
        <v>2.8203314071977665</v>
      </c>
      <c r="F10" s="79">
        <f>IFERROR((d_DL/(Rad_Spec!AY10*d_Fam*d_Foffset*acf!C10*d_EF_res*(1/365)*((d_ET_res_o*d_GSF_s)+(d_ET_res_i*d_GSF_i))*(1/24)))*1,".")</f>
        <v>822.94664409913503</v>
      </c>
      <c r="G10" s="79">
        <f t="shared" si="2"/>
        <v>0.43665930504455192</v>
      </c>
      <c r="H10" s="79">
        <f t="shared" si="3"/>
        <v>3.8291024010064299E-3</v>
      </c>
      <c r="I10" s="80">
        <f>IFERROR((d_DL/(Rad_Spec!AV10*d_Fam*d_Foffset*Fsurf!C10*d_EF_res*(1/365)*((d_ET_res_o*d_GSF_s)+(d_ET_res_i*d_GSF_i))*(1/24)))*1,".")</f>
        <v>2764.4145236217259</v>
      </c>
      <c r="J10" s="79">
        <f>IFERROR((d_DL/(Rad_Spec!AZ10*d_Fam*d_Foffset*Fsurf!C10*d_EF_res*(1/365)*((d_ET_res_o*d_GSF_s)+(d_ET_res_i*d_GSF_i))*(1/24)))*1,".")</f>
        <v>5978.8500162051259</v>
      </c>
      <c r="K10" s="79">
        <f>IFERROR((d_DL/(Rad_Spec!BA10*d_Fam*d_Foffset*Fsurf!C10*d_EF_res*(1/365)*((d_ET_res_o*d_GSF_s)+(d_ET_res_i*d_GSF_i))*(1/24)))*1,".")</f>
        <v>3427.8740092909393</v>
      </c>
      <c r="L10" s="79">
        <f>IFERROR((d_DL/(Rad_Spec!BB10*d_Fam*d_Foffset*Fsurf!C10*d_EF_res*(1/365)*((d_ET_res_o*d_GSF_s)+(d_ET_res_i*d_GSF_i))*(1/24)))*1,".")</f>
        <v>2812.8069004028489</v>
      </c>
      <c r="M10" s="79">
        <f>IFERROR((d_DL/(Rad_Spec!AY10*d_Fam*d_Foffset*Fsurf!C10*d_EF_res*(1/365)*((d_ET_res_o*d_GSF_s)+(d_ET_res_i*d_GSF_i))*(1/24)))*1,".")</f>
        <v>656.25729194508369</v>
      </c>
      <c r="N10" s="79">
        <f>IFERROR((d_DL/(Rad_Spec!AV10*d_Fam*d_Foffset*acf!D10*d_EF_res*(1/365)*((d_ET_res_o*d_GSF_s)+(d_ET_res_i*d_GSF_i))*(1/24)))*1,".")</f>
        <v>3466.5758126216442</v>
      </c>
      <c r="O10" s="79">
        <f>IFERROR((d_DL/(Rad_Spec!AZ10*d_Fam*d_Foffset*acf!E10*d_EF_res*(1/365)*((d_ET_res_o*d_GSF_s)+(d_ET_res_i*d_GSF_i))*(1/24)))*1,".")</f>
        <v>7497.4779203212292</v>
      </c>
      <c r="P10" s="79">
        <f>IFERROR((d_DL/(Rad_Spec!BA10*d_Fam*d_Foffset*acf!F10*d_EF_res*(1/365)*((d_ET_res_o*d_GSF_s)+(d_ET_res_i*d_GSF_i))*(1/24)))*1,".")</f>
        <v>4298.5540076508378</v>
      </c>
      <c r="Q10" s="79">
        <f>IFERROR((d_DL/(Rad_Spec!BB10*d_Fam*d_Foffset*acf!G10*d_EF_res*(1/365)*((d_ET_res_o*d_GSF_s)+(d_ET_res_i*d_GSF_i))*(1/24)))*1,".")</f>
        <v>3527.2598531051735</v>
      </c>
      <c r="R10" s="79">
        <f>IFERROR((d_DL/(Rad_Spec!AY10*d_Fam*d_Foffset*acf!C10*d_EF_res*(1/365)*((d_ET_res_o*d_GSF_s)+(d_ET_res_i*d_GSF_i))*(1/24)))*1,".")</f>
        <v>822.94664409913503</v>
      </c>
    </row>
    <row r="11" spans="1:18">
      <c r="A11" s="78" t="s">
        <v>16</v>
      </c>
      <c r="B11" s="88" t="s">
        <v>6</v>
      </c>
      <c r="C11" s="79" t="str">
        <f>IFERROR((d_DL/(Rad_Spec!X11*d_IFDres_adj))*1,".")</f>
        <v>.</v>
      </c>
      <c r="D11" s="79" t="str">
        <f>IFERROR((d_DL/(Rad_Spec!AN11*d_IFAres_adj*(1/d_PEFm_pp)*d_SLF*(d_ET_res_o+d_ET_res_i)*(1/24)))*1,".")</f>
        <v>.</v>
      </c>
      <c r="E11" s="79" t="str">
        <f>IFERROR((d_DL/(Rad_Spec!AN11*d_IFAres_adj*(1/d_PEF)*d_SLF*(d_ET_res_o+d_ET_res_i)*(1/24)))*1,".")</f>
        <v>.</v>
      </c>
      <c r="F11" s="79">
        <f>IFERROR((d_DL/(Rad_Spec!AY11*d_Fam*d_Foffset*acf!C11*d_EF_res*(1/365)*((d_ET_res_o*d_GSF_s)+(d_ET_res_i*d_GSF_i))*(1/24)))*1,".")</f>
        <v>95.755501711163305</v>
      </c>
      <c r="G11" s="79">
        <f t="shared" si="2"/>
        <v>95.755501711163305</v>
      </c>
      <c r="H11" s="79">
        <f t="shared" si="3"/>
        <v>95.755501711163305</v>
      </c>
      <c r="I11" s="80">
        <f>IFERROR((d_DL/(Rad_Spec!AV11*d_Fam*d_Foffset*Fsurf!C11*d_EF_res*(1/365)*((d_ET_res_o*d_GSF_s)+(d_ET_res_i*d_GSF_i))*(1/24)))*1,".")</f>
        <v>17.815684102280006</v>
      </c>
      <c r="J11" s="79">
        <f>IFERROR((d_DL/(Rad_Spec!AZ11*d_Fam*d_Foffset*Fsurf!C11*d_EF_res*(1/365)*((d_ET_res_o*d_GSF_s)+(d_ET_res_i*d_GSF_i))*(1/24)))*1,".")</f>
        <v>74.284109736407288</v>
      </c>
      <c r="K11" s="79">
        <f>IFERROR((d_DL/(Rad_Spec!BA11*d_Fam*d_Foffset*Fsurf!C11*d_EF_res*(1/365)*((d_ET_res_o*d_GSF_s)+(d_ET_res_i*d_GSF_i))*(1/24)))*1,".")</f>
        <v>26.574440930806787</v>
      </c>
      <c r="L11" s="79">
        <f>IFERROR((d_DL/(Rad_Spec!BB11*d_Fam*d_Foffset*Fsurf!C11*d_EF_res*(1/365)*((d_ET_res_o*d_GSF_s)+(d_ET_res_i*d_GSF_i))*(1/24)))*1,".")</f>
        <v>18.516884496976154</v>
      </c>
      <c r="M11" s="79">
        <f>IFERROR((d_DL/(Rad_Spec!AY11*d_Fam*d_Foffset*Fsurf!C11*d_EF_res*(1/365)*((d_ET_res_o*d_GSF_s)+(d_ET_res_i*d_GSF_i))*(1/24)))*1,".")</f>
        <v>75.457448156945077</v>
      </c>
      <c r="N11" s="79">
        <f>IFERROR((d_DL/(Rad_Spec!AV11*d_Fam*d_Foffset*acf!D11*d_EF_res*(1/365)*((d_ET_res_o*d_GSF_s)+(d_ET_res_i*d_GSF_i))*(1/24)))*1,".")</f>
        <v>22.608103125793324</v>
      </c>
      <c r="O11" s="79">
        <f>IFERROR((d_DL/(Rad_Spec!AZ11*d_Fam*d_Foffset*acf!E11*d_EF_res*(1/365)*((d_ET_res_o*d_GSF_s)+(d_ET_res_i*d_GSF_i))*(1/24)))*1,".")</f>
        <v>94.266535255500813</v>
      </c>
      <c r="P11" s="79">
        <f>IFERROR((d_DL/(Rad_Spec!BA11*d_Fam*d_Foffset*acf!F11*d_EF_res*(1/365)*((d_ET_res_o*d_GSF_s)+(d_ET_res_i*d_GSF_i))*(1/24)))*1,".")</f>
        <v>33.722965541193808</v>
      </c>
      <c r="Q11" s="79">
        <f>IFERROR((d_DL/(Rad_Spec!BB11*d_Fam*d_Foffset*acf!G11*d_EF_res*(1/365)*((d_ET_res_o*d_GSF_s)+(d_ET_res_i*d_GSF_i))*(1/24)))*1,".")</f>
        <v>23.497926426662744</v>
      </c>
      <c r="R11" s="79">
        <f>IFERROR((d_DL/(Rad_Spec!AY11*d_Fam*d_Foffset*acf!C11*d_EF_res*(1/365)*((d_ET_res_o*d_GSF_s)+(d_ET_res_i*d_GSF_i))*(1/24)))*1,".")</f>
        <v>95.755501711163305</v>
      </c>
    </row>
    <row r="12" spans="1:18">
      <c r="A12" s="78" t="s">
        <v>17</v>
      </c>
      <c r="B12" s="88" t="s">
        <v>6</v>
      </c>
      <c r="C12" s="79" t="str">
        <f>IFERROR((d_DL/(Rad_Spec!X12*d_IFDres_adj))*1,".")</f>
        <v>.</v>
      </c>
      <c r="D12" s="79" t="str">
        <f>IFERROR((d_DL/(Rad_Spec!AN12*d_IFAres_adj*(1/d_PEFm_pp)*d_SLF*(d_ET_res_o+d_ET_res_i)*(1/24)))*1,".")</f>
        <v>.</v>
      </c>
      <c r="E12" s="79" t="str">
        <f>IFERROR((d_DL/(Rad_Spec!AN12*d_IFAres_adj*(1/d_PEF)*d_SLF*(d_ET_res_o+d_ET_res_i)*(1/24)))*1,".")</f>
        <v>.</v>
      </c>
      <c r="F12" s="79">
        <f>IFERROR((d_DL/(Rad_Spec!AY12*d_Fam*d_Foffset*acf!C12*d_EF_res*(1/365)*((d_ET_res_o*d_GSF_s)+(d_ET_res_i*d_GSF_i))*(1/24)))*1,".")</f>
        <v>17.287402657921426</v>
      </c>
      <c r="G12" s="79">
        <f t="shared" si="2"/>
        <v>17.287402657921426</v>
      </c>
      <c r="H12" s="79">
        <f t="shared" si="3"/>
        <v>17.287402657921426</v>
      </c>
      <c r="I12" s="80" t="str">
        <f>IFERROR((d_DL/(Rad_Spec!AV12*d_Fam*d_Foffset*Fsurf!C12*d_EF_res*(1/365)*((d_ET_res_o*d_GSF_s)+(d_ET_res_i*d_GSF_i))*(1/24)))*1,".")</f>
        <v>.</v>
      </c>
      <c r="J12" s="79" t="str">
        <f>IFERROR((d_DL/(Rad_Spec!AZ12*d_Fam*d_Foffset*Fsurf!C12*d_EF_res*(1/365)*((d_ET_res_o*d_GSF_s)+(d_ET_res_i*d_GSF_i))*(1/24)))*1,".")</f>
        <v>.</v>
      </c>
      <c r="K12" s="79" t="str">
        <f>IFERROR((d_DL/(Rad_Spec!BA12*d_Fam*d_Foffset*Fsurf!C12*d_EF_res*(1/365)*((d_ET_res_o*d_GSF_s)+(d_ET_res_i*d_GSF_i))*(1/24)))*1,".")</f>
        <v>.</v>
      </c>
      <c r="L12" s="79" t="str">
        <f>IFERROR((d_DL/(Rad_Spec!BB12*d_Fam*d_Foffset*Fsurf!C12*d_EF_res*(1/365)*((d_ET_res_o*d_GSF_s)+(d_ET_res_i*d_GSF_i))*(1/24)))*1,".")</f>
        <v>.</v>
      </c>
      <c r="M12" s="79" t="str">
        <f>IFERROR((d_DL/(Rad_Spec!AY12*d_Fam*d_Foffset*Fsurf!C12*d_EF_res*(1/365)*((d_ET_res_o*d_GSF_s)+(d_ET_res_i*d_GSF_i))*(1/24)))*1,".")</f>
        <v>.</v>
      </c>
      <c r="N12" s="79">
        <f>IFERROR((d_DL/(Rad_Spec!AV12*d_Fam*d_Foffset*acf!D12*d_EF_res*(1/365)*((d_ET_res_o*d_GSF_s)+(d_ET_res_i*d_GSF_i))*(1/24)))*1,".")</f>
        <v>4.9145053441130004</v>
      </c>
      <c r="O12" s="79">
        <f>IFERROR((d_DL/(Rad_Spec!AZ12*d_Fam*d_Foffset*acf!E12*d_EF_res*(1/365)*((d_ET_res_o*d_GSF_s)+(d_ET_res_i*d_GSF_i))*(1/24)))*1,".")</f>
        <v>21.72449801710329</v>
      </c>
      <c r="P12" s="79">
        <f>IFERROR((d_DL/(Rad_Spec!BA12*d_Fam*d_Foffset*acf!F12*d_EF_res*(1/365)*((d_ET_res_o*d_GSF_s)+(d_ET_res_i*d_GSF_i))*(1/24)))*1,".")</f>
        <v>7.7872355211065898</v>
      </c>
      <c r="Q12" s="79">
        <f>IFERROR((d_DL/(Rad_Spec!BB12*d_Fam*d_Foffset*acf!G12*d_EF_res*(1/365)*((d_ET_res_o*d_GSF_s)+(d_ET_res_i*d_GSF_i))*(1/24)))*1,".")</f>
        <v>5.2506767194432058</v>
      </c>
      <c r="R12" s="79">
        <f>IFERROR((d_DL/(Rad_Spec!AY12*d_Fam*d_Foffset*acf!C12*d_EF_res*(1/365)*((d_ET_res_o*d_GSF_s)+(d_ET_res_i*d_GSF_i))*(1/24)))*1,".")</f>
        <v>17.287402657921426</v>
      </c>
    </row>
    <row r="13" spans="1:18">
      <c r="A13" s="78" t="s">
        <v>18</v>
      </c>
      <c r="B13" s="88" t="s">
        <v>6</v>
      </c>
      <c r="C13" s="79">
        <f>IFERROR((d_DL/(Rad_Spec!X13*d_IFDres_adj))*1,".")</f>
        <v>5.5006082403342683E-2</v>
      </c>
      <c r="D13" s="79">
        <f>IFERROR((d_DL/(Rad_Spec!AN13*d_IFAres_adj*(1/d_PEFm_pp)*d_SLF*(d_ET_res_o+d_ET_res_i)*(1/24)))*1,".")</f>
        <v>1.2767127939662323E-5</v>
      </c>
      <c r="E13" s="79">
        <f>IFERROR((d_DL/(Rad_Spec!AN13*d_IFAres_adj*(1/d_PEF)*d_SLF*(d_ET_res_o+d_ET_res_i)*(1/24)))*1,".")</f>
        <v>9.3339539428687977E-3</v>
      </c>
      <c r="F13" s="79">
        <f>IFERROR((d_DL/(Rad_Spec!AY13*d_Fam*d_Foffset*acf!C13*d_EF_res*(1/365)*((d_ET_res_o*d_GSF_s)+(d_ET_res_i*d_GSF_i))*(1/24)))*1,".")</f>
        <v>105.5665162307497</v>
      </c>
      <c r="G13" s="79">
        <f t="shared" ref="G13:G30" si="4">(IF(AND(C13&lt;&gt;".",E13&lt;&gt;".",F13&lt;&gt;"."),1/((1/C13)+(1/E13)+(1/F13)),IF(AND(C13&lt;&gt;".",E13&lt;&gt;".",F13="."), 1/((1/C13)+(1/E13)),IF(AND(C13&lt;&gt;".",E13=".",F13&lt;&gt;"."),1/((1/C13)+(1/F13)),IF(AND(C13=".",E13&lt;&gt;".",F13&lt;&gt;"."),1/((1/E13)+(1/F13)),IF(AND(C13&lt;&gt;".",E13=".",F13="."),1/(1/C13),IF(AND(C13=".",E13&lt;&gt;".",F13="."),1/(1/E13),IF(AND(C13=".",E13=".",F13&lt;&gt;"."),1/(1/F13),IF(AND(C13=".",E13=".",F13="."),".")))))))))</f>
        <v>7.979253069708557E-3</v>
      </c>
      <c r="H13" s="79">
        <f t="shared" ref="H13:H30" si="5">(IF(AND(C13&lt;&gt;".",D13&lt;&gt;".",F13&lt;&gt;"."),1/((1/C13)+(1/D13)+(1/F13)),IF(AND(C13&lt;&gt;".",D13&lt;&gt;".",F13="."), 1/((1/C13)+(1/D13)),IF(AND(C13&lt;&gt;".",D13=".",F13&lt;&gt;"."),1/((1/C13)+(1/F13)),IF(AND(C13=".",D13&lt;&gt;".",F13&lt;&gt;"."),1/((1/D13)+(1/F13)),IF(AND(C13&lt;&gt;".",D13=".",F13="."),1/(1/C13),IF(AND(C13=".",D13&lt;&gt;".",F13="."),1/(1/D13),IF(AND(C13=".",D13=".",F13&lt;&gt;"."),1/(1/F13),IF(AND(C13=".",D13=".",F13="."),".")))))))))</f>
        <v>1.2764163783388263E-5</v>
      </c>
      <c r="I13" s="80">
        <f>IFERROR((d_DL/(Rad_Spec!AV13*d_Fam*d_Foffset*Fsurf!C13*d_EF_res*(1/365)*((d_ET_res_o*d_GSF_s)+(d_ET_res_i*d_GSF_i))*(1/24)))*1,".")</f>
        <v>32.118261919516229</v>
      </c>
      <c r="J13" s="79">
        <f>IFERROR((d_DL/(Rad_Spec!AZ13*d_Fam*d_Foffset*Fsurf!C13*d_EF_res*(1/365)*((d_ET_res_o*d_GSF_s)+(d_ET_res_i*d_GSF_i))*(1/24)))*1,".")</f>
        <v>96.087133575886057</v>
      </c>
      <c r="K13" s="79">
        <f>IFERROR((d_DL/(Rad_Spec!BA13*d_Fam*d_Foffset*Fsurf!C13*d_EF_res*(1/365)*((d_ET_res_o*d_GSF_s)+(d_ET_res_i*d_GSF_i))*(1/24)))*1,".")</f>
        <v>40.316279822050085</v>
      </c>
      <c r="L13" s="79">
        <f>IFERROR((d_DL/(Rad_Spec!BB13*d_Fam*d_Foffset*Fsurf!C13*d_EF_res*(1/365)*((d_ET_res_o*d_GSF_s)+(d_ET_res_i*d_GSF_i))*(1/24)))*1,".")</f>
        <v>32.20797773493387</v>
      </c>
      <c r="M13" s="79">
        <f>IFERROR((d_DL/(Rad_Spec!AY13*d_Fam*d_Foffset*Fsurf!C13*d_EF_res*(1/365)*((d_ET_res_o*d_GSF_s)+(d_ET_res_i*d_GSF_i))*(1/24)))*1,".")</f>
        <v>75.512529492667881</v>
      </c>
      <c r="N13" s="79">
        <f>IFERROR((d_DL/(Rad_Spec!AV13*d_Fam*d_Foffset*acf!D13*d_EF_res*(1/365)*((d_ET_res_o*d_GSF_s)+(d_ET_res_i*d_GSF_i))*(1/24)))*1,".")</f>
        <v>44.901330163483678</v>
      </c>
      <c r="O13" s="79">
        <f>IFERROR((d_DL/(Rad_Spec!AZ13*d_Fam*d_Foffset*acf!E13*d_EF_res*(1/365)*((d_ET_res_o*d_GSF_s)+(d_ET_res_i*d_GSF_i))*(1/24)))*1,".")</f>
        <v>134.32981273908868</v>
      </c>
      <c r="P13" s="79">
        <f>IFERROR((d_DL/(Rad_Spec!BA13*d_Fam*d_Foffset*acf!F13*d_EF_res*(1/365)*((d_ET_res_o*d_GSF_s)+(d_ET_res_i*d_GSF_i))*(1/24)))*1,".")</f>
        <v>56.362159191226027</v>
      </c>
      <c r="Q13" s="79">
        <f>IFERROR((d_DL/(Rad_Spec!BB13*d_Fam*d_Foffset*acf!G13*d_EF_res*(1/365)*((d_ET_res_o*d_GSF_s)+(d_ET_res_i*d_GSF_i))*(1/24)))*1,".")</f>
        <v>45.026752873437538</v>
      </c>
      <c r="R13" s="79">
        <f>IFERROR((d_DL/(Rad_Spec!AY13*d_Fam*d_Foffset*acf!C13*d_EF_res*(1/365)*((d_ET_res_o*d_GSF_s)+(d_ET_res_i*d_GSF_i))*(1/24)))*1,".")</f>
        <v>105.5665162307497</v>
      </c>
    </row>
    <row r="14" spans="1:18">
      <c r="A14" s="78" t="s">
        <v>19</v>
      </c>
      <c r="B14" s="88" t="s">
        <v>6</v>
      </c>
      <c r="C14" s="79">
        <f>IFERROR((d_DL/(Rad_Spec!X14*d_IFDres_adj))*1,".")</f>
        <v>5.2089093184983595</v>
      </c>
      <c r="D14" s="79">
        <f>IFERROR((d_DL/(Rad_Spec!AN14*d_IFAres_adj*(1/d_PEFm_pp)*d_SLF*(d_ET_res_o+d_ET_res_i)*(1/24)))*1,".")</f>
        <v>3.5277590359593256E-2</v>
      </c>
      <c r="E14" s="79">
        <f>IFERROR((d_DL/(Rad_Spec!AN14*d_IFAres_adj*(1/d_PEF)*d_SLF*(d_ET_res_o+d_ET_res_i)*(1/24)))*1,".")</f>
        <v>25.791188526347995</v>
      </c>
      <c r="F14" s="79">
        <f>IFERROR((d_DL/(Rad_Spec!AY14*d_Fam*d_Foffset*acf!C14*d_EF_res*(1/365)*((d_ET_res_o*d_GSF_s)+(d_ET_res_i*d_GSF_i))*(1/24)))*1,".")</f>
        <v>12.751598990248976</v>
      </c>
      <c r="G14" s="79">
        <f t="shared" si="4"/>
        <v>3.234432590495425</v>
      </c>
      <c r="H14" s="79">
        <f t="shared" si="5"/>
        <v>3.4944254624657459E-2</v>
      </c>
      <c r="I14" s="80">
        <f>IFERROR((d_DL/(Rad_Spec!AV14*d_Fam*d_Foffset*Fsurf!C14*d_EF_res*(1/365)*((d_ET_res_o*d_GSF_s)+(d_ET_res_i*d_GSF_i))*(1/24)))*1,".")</f>
        <v>2.2892574670790813</v>
      </c>
      <c r="J14" s="79">
        <f>IFERROR((d_DL/(Rad_Spec!AZ14*d_Fam*d_Foffset*Fsurf!C14*d_EF_res*(1/365)*((d_ET_res_o*d_GSF_s)+(d_ET_res_i*d_GSF_i))*(1/24)))*1,".")</f>
        <v>9.8239788941582624</v>
      </c>
      <c r="K14" s="79">
        <f>IFERROR((d_DL/(Rad_Spec!BA14*d_Fam*d_Foffset*Fsurf!C14*d_EF_res*(1/365)*((d_ET_res_o*d_GSF_s)+(d_ET_res_i*d_GSF_i))*(1/24)))*1,".")</f>
        <v>3.5344060044138792</v>
      </c>
      <c r="L14" s="79">
        <f>IFERROR((d_DL/(Rad_Spec!BB14*d_Fam*d_Foffset*Fsurf!C14*d_EF_res*(1/365)*((d_ET_res_o*d_GSF_s)+(d_ET_res_i*d_GSF_i))*(1/24)))*1,".")</f>
        <v>2.4179172859653089</v>
      </c>
      <c r="M14" s="79">
        <f>IFERROR((d_DL/(Rad_Spec!AY14*d_Fam*d_Foffset*Fsurf!C14*d_EF_res*(1/365)*((d_ET_res_o*d_GSF_s)+(d_ET_res_i*d_GSF_i))*(1/24)))*1,".")</f>
        <v>9.8696586611834167</v>
      </c>
      <c r="N14" s="79">
        <f>IFERROR((d_DL/(Rad_Spec!AV14*d_Fam*d_Foffset*acf!D14*d_EF_res*(1/365)*((d_ET_res_o*d_GSF_s)+(d_ET_res_i*d_GSF_i))*(1/24)))*1,".")</f>
        <v>2.9577206474661732</v>
      </c>
      <c r="O14" s="79">
        <f>IFERROR((d_DL/(Rad_Spec!AZ14*d_Fam*d_Foffset*acf!E14*d_EF_res*(1/365)*((d_ET_res_o*d_GSF_s)+(d_ET_res_i*d_GSF_i))*(1/24)))*1,".")</f>
        <v>12.692580731252471</v>
      </c>
      <c r="P14" s="79">
        <f>IFERROR((d_DL/(Rad_Spec!BA14*d_Fam*d_Foffset*acf!F14*d_EF_res*(1/365)*((d_ET_res_o*d_GSF_s)+(d_ET_res_i*d_GSF_i))*(1/24)))*1,".")</f>
        <v>4.5664525577027311</v>
      </c>
      <c r="Q14" s="79">
        <f>IFERROR((d_DL/(Rad_Spec!BB14*d_Fam*d_Foffset*acf!G14*d_EF_res*(1/365)*((d_ET_res_o*d_GSF_s)+(d_ET_res_i*d_GSF_i))*(1/24)))*1,".")</f>
        <v>3.1239491334671787</v>
      </c>
      <c r="R14" s="79">
        <f>IFERROR((d_DL/(Rad_Spec!AY14*d_Fam*d_Foffset*acf!C14*d_EF_res*(1/365)*((d_ET_res_o*d_GSF_s)+(d_ET_res_i*d_GSF_i))*(1/24)))*1,".")</f>
        <v>12.751598990248976</v>
      </c>
    </row>
    <row r="15" spans="1:18">
      <c r="A15" s="78" t="s">
        <v>20</v>
      </c>
      <c r="B15" s="88" t="s">
        <v>6</v>
      </c>
      <c r="C15" s="79">
        <f>IFERROR((d_DL/(Rad_Spec!X15*d_IFDres_adj))*1,".")</f>
        <v>92.044983941336483</v>
      </c>
      <c r="D15" s="79">
        <f>IFERROR((d_DL/(Rad_Spec!AN15*d_IFAres_adj*(1/d_PEFm_pp)*d_SLF*(d_ET_res_o+d_ET_res_i)*(1/24)))*1,".")</f>
        <v>2.3046677942656917</v>
      </c>
      <c r="E15" s="79">
        <f>IFERROR((d_DL/(Rad_Spec!AN15*d_IFAres_adj*(1/d_PEF)*d_SLF*(d_ET_res_o+d_ET_res_i)*(1/24)))*1,".")</f>
        <v>1684.9257833831928</v>
      </c>
      <c r="F15" s="79">
        <f>IFERROR((d_DL/(Rad_Spec!AY15*d_Fam*d_Foffset*acf!C15*d_EF_res*(1/365)*((d_ET_res_o*d_GSF_s)+(d_ET_res_i*d_GSF_i))*(1/24)))*1,".")</f>
        <v>897.18669314883061</v>
      </c>
      <c r="G15" s="79">
        <f t="shared" si="4"/>
        <v>79.539648387721599</v>
      </c>
      <c r="H15" s="79">
        <f t="shared" si="5"/>
        <v>2.2427515557558446</v>
      </c>
      <c r="I15" s="80">
        <f>IFERROR((d_DL/(Rad_Spec!AV15*d_Fam*d_Foffset*Fsurf!C15*d_EF_res*(1/365)*((d_ET_res_o*d_GSF_s)+(d_ET_res_i*d_GSF_i))*(1/24)))*1,".")</f>
        <v>3189.7090657173753</v>
      </c>
      <c r="J15" s="79">
        <f>IFERROR((d_DL/(Rad_Spec!AZ15*d_Fam*d_Foffset*Fsurf!C15*d_EF_res*(1/365)*((d_ET_res_o*d_GSF_s)+(d_ET_res_i*d_GSF_i))*(1/24)))*1,".")</f>
        <v>8135.7769207854562</v>
      </c>
      <c r="K15" s="79">
        <f>IFERROR((d_DL/(Rad_Spec!BA15*d_Fam*d_Foffset*Fsurf!C15*d_EF_res*(1/365)*((d_ET_res_o*d_GSF_s)+(d_ET_res_i*d_GSF_i))*(1/24)))*1,".")</f>
        <v>4029.6324560630169</v>
      </c>
      <c r="L15" s="79">
        <f>IFERROR((d_DL/(Rad_Spec!BB15*d_Fam*d_Foffset*Fsurf!C15*d_EF_res*(1/365)*((d_ET_res_o*d_GSF_s)+(d_ET_res_i*d_GSF_i))*(1/24)))*1,".")</f>
        <v>3237.9162556274614</v>
      </c>
      <c r="M15" s="79">
        <f>IFERROR((d_DL/(Rad_Spec!AY15*d_Fam*d_Foffset*Fsurf!C15*d_EF_res*(1/365)*((d_ET_res_o*d_GSF_s)+(d_ET_res_i*d_GSF_i))*(1/24)))*1,".")</f>
        <v>643.91389460442383</v>
      </c>
      <c r="N15" s="79">
        <f>IFERROR((d_DL/(Rad_Spec!AV15*d_Fam*d_Foffset*acf!D15*d_EF_res*(1/365)*((d_ET_res_o*d_GSF_s)+(d_ET_res_i*d_GSF_i))*(1/24)))*1,".")</f>
        <v>4444.3279648995422</v>
      </c>
      <c r="O15" s="79">
        <f>IFERROR((d_DL/(Rad_Spec!AZ15*d_Fam*d_Foffset*acf!E15*d_EF_res*(1/365)*((d_ET_res_o*d_GSF_s)+(d_ET_res_i*d_GSF_i))*(1/24)))*1,".")</f>
        <v>11335.849176294403</v>
      </c>
      <c r="P15" s="79">
        <f>IFERROR((d_DL/(Rad_Spec!BA15*d_Fam*d_Foffset*acf!F15*d_EF_res*(1/365)*((d_ET_res_o*d_GSF_s)+(d_ET_res_i*d_GSF_i))*(1/24)))*1,".")</f>
        <v>5614.6212221144679</v>
      </c>
      <c r="Q15" s="79">
        <f>IFERROR((d_DL/(Rad_Spec!BB15*d_Fam*d_Foffset*acf!G15*d_EF_res*(1/365)*((d_ET_res_o*d_GSF_s)+(d_ET_res_i*d_GSF_i))*(1/24)))*1,".")</f>
        <v>4511.496649507596</v>
      </c>
      <c r="R15" s="79">
        <f>IFERROR((d_DL/(Rad_Spec!AY15*d_Fam*d_Foffset*acf!C15*d_EF_res*(1/365)*((d_ET_res_o*d_GSF_s)+(d_ET_res_i*d_GSF_i))*(1/24)))*1,".")</f>
        <v>897.18669314883061</v>
      </c>
    </row>
    <row r="16" spans="1:18">
      <c r="A16" s="81" t="s">
        <v>21</v>
      </c>
      <c r="B16" s="88" t="s">
        <v>6</v>
      </c>
      <c r="C16" s="79">
        <f>IFERROR((d_DL/(Rad_Spec!X16*d_IFDres_adj))*1,".")</f>
        <v>6.7409414709978781E-3</v>
      </c>
      <c r="D16" s="79">
        <f>IFERROR((d_DL/(Rad_Spec!AN16*d_IFAres_adj*(1/d_PEFm_pp)*d_SLF*(d_ET_res_o+d_ET_res_i)*(1/24)))*1,".")</f>
        <v>2.6677580769443654E-5</v>
      </c>
      <c r="E16" s="79">
        <f>IFERROR((d_DL/(Rad_Spec!AN16*d_IFAres_adj*(1/d_PEF)*d_SLF*(d_ET_res_o+d_ET_res_i)*(1/24)))*1,".")</f>
        <v>1.9503784358233307E-2</v>
      </c>
      <c r="F16" s="79">
        <f>IFERROR((d_DL/(Rad_Spec!AY16*d_Fam*d_Foffset*acf!C16*d_EF_res*(1/365)*((d_ET_res_o*d_GSF_s)+(d_ET_res_i*d_GSF_i))*(1/24)))*1,".")</f>
        <v>1187.0152055439135</v>
      </c>
      <c r="G16" s="79">
        <f t="shared" si="4"/>
        <v>5.0095137142323947E-3</v>
      </c>
      <c r="H16" s="79">
        <f t="shared" si="5"/>
        <v>2.6572418623647641E-5</v>
      </c>
      <c r="I16" s="80">
        <f>IFERROR((d_DL/(Rad_Spec!AV16*d_Fam*d_Foffset*Fsurf!C16*d_EF_res*(1/365)*((d_ET_res_o*d_GSF_s)+(d_ET_res_i*d_GSF_i))*(1/24)))*1,".")</f>
        <v>960.13875492534567</v>
      </c>
      <c r="J16" s="79">
        <f>IFERROR((d_DL/(Rad_Spec!AZ16*d_Fam*d_Foffset*Fsurf!C16*d_EF_res*(1/365)*((d_ET_res_o*d_GSF_s)+(d_ET_res_i*d_GSF_i))*(1/24)))*1,".")</f>
        <v>1510.3306257252623</v>
      </c>
      <c r="K16" s="79">
        <f>IFERROR((d_DL/(Rad_Spec!BA16*d_Fam*d_Foffset*Fsurf!C16*d_EF_res*(1/365)*((d_ET_res_o*d_GSF_s)+(d_ET_res_i*d_GSF_i))*(1/24)))*1,".")</f>
        <v>977.5958231967154</v>
      </c>
      <c r="L16" s="79">
        <f>IFERROR((d_DL/(Rad_Spec!BB16*d_Fam*d_Foffset*Fsurf!C16*d_EF_res*(1/365)*((d_ET_res_o*d_GSF_s)+(d_ET_res_i*d_GSF_i))*(1/24)))*1,".")</f>
        <v>960.13875492534567</v>
      </c>
      <c r="M16" s="79">
        <f>IFERROR((d_DL/(Rad_Spec!AY16*d_Fam*d_Foffset*Fsurf!C16*d_EF_res*(1/365)*((d_ET_res_o*d_GSF_s)+(d_ET_res_i*d_GSF_i))*(1/24)))*1,".")</f>
        <v>791.87138461902168</v>
      </c>
      <c r="N16" s="79">
        <f>IFERROR((d_DL/(Rad_Spec!AV16*d_Fam*d_Foffset*acf!D16*d_EF_res*(1/365)*((d_ET_res_o*d_GSF_s)+(d_ET_res_i*d_GSF_i))*(1/24)))*1,".")</f>
        <v>1439.2479936330931</v>
      </c>
      <c r="O16" s="79">
        <f>IFERROR((d_DL/(Rad_Spec!AZ16*d_Fam*d_Foffset*acf!E16*d_EF_res*(1/365)*((d_ET_res_o*d_GSF_s)+(d_ET_res_i*d_GSF_i))*(1/24)))*1,".")</f>
        <v>2263.9856079621686</v>
      </c>
      <c r="P16" s="79">
        <f>IFERROR((d_DL/(Rad_Spec!BA16*d_Fam*d_Foffset*acf!F16*d_EF_res*(1/365)*((d_ET_res_o*d_GSF_s)+(d_ET_res_i*d_GSF_i))*(1/24)))*1,".")</f>
        <v>1465.4161389718768</v>
      </c>
      <c r="Q16" s="79">
        <f>IFERROR((d_DL/(Rad_Spec!BB16*d_Fam*d_Foffset*acf!G16*d_EF_res*(1/365)*((d_ET_res_o*d_GSF_s)+(d_ET_res_i*d_GSF_i))*(1/24)))*1,".")</f>
        <v>1439.2479936330931</v>
      </c>
      <c r="R16" s="79">
        <f>IFERROR((d_DL/(Rad_Spec!AY16*d_Fam*d_Foffset*acf!C16*d_EF_res*(1/365)*((d_ET_res_o*d_GSF_s)+(d_ET_res_i*d_GSF_i))*(1/24)))*1,".")</f>
        <v>1187.0152055439135</v>
      </c>
    </row>
    <row r="17" spans="1:18">
      <c r="A17" s="78" t="s">
        <v>22</v>
      </c>
      <c r="B17" s="88" t="s">
        <v>6</v>
      </c>
      <c r="C17" s="79">
        <f>IFERROR((d_DL/(Rad_Spec!X17*d_IFDres_adj))*1,".")</f>
        <v>34.551559298582085</v>
      </c>
      <c r="D17" s="79">
        <f>IFERROR((d_DL/(Rad_Spec!AN17*d_IFAres_adj*(1/d_PEFm_pp)*d_SLF*(d_ET_res_o+d_ET_res_i)*(1/24)))*1,".")</f>
        <v>1.2772607393713682E-2</v>
      </c>
      <c r="E17" s="79">
        <f>IFERROR((d_DL/(Rad_Spec!AN17*d_IFAres_adj*(1/d_PEF)*d_SLF*(d_ET_res_o+d_ET_res_i)*(1/24)))*1,".")</f>
        <v>9.3379599316854804</v>
      </c>
      <c r="F17" s="79">
        <f>IFERROR((d_DL/(Rad_Spec!AY17*d_Fam*d_Foffset*acf!C17*d_EF_res*(1/365)*((d_ET_res_o*d_GSF_s)+(d_ET_res_i*d_GSF_i))*(1/24)))*1,".")</f>
        <v>10.600094633869515</v>
      </c>
      <c r="G17" s="79">
        <f t="shared" si="4"/>
        <v>4.3408277995847868</v>
      </c>
      <c r="H17" s="79">
        <f t="shared" si="5"/>
        <v>1.2752527006455017E-2</v>
      </c>
      <c r="I17" s="80">
        <f>IFERROR((d_DL/(Rad_Spec!AV17*d_Fam*d_Foffset*Fsurf!C17*d_EF_res*(1/365)*((d_ET_res_o*d_GSF_s)+(d_ET_res_i*d_GSF_i))*(1/24)))*1,".")</f>
        <v>1.9192166638914261</v>
      </c>
      <c r="J17" s="79">
        <f>IFERROR((d_DL/(Rad_Spec!AZ17*d_Fam*d_Foffset*Fsurf!C17*d_EF_res*(1/365)*((d_ET_res_o*d_GSF_s)+(d_ET_res_i*d_GSF_i))*(1/24)))*1,".")</f>
        <v>8.610885431992866</v>
      </c>
      <c r="K17" s="79">
        <f>IFERROR((d_DL/(Rad_Spec!BA17*d_Fam*d_Foffset*Fsurf!C17*d_EF_res*(1/365)*((d_ET_res_o*d_GSF_s)+(d_ET_res_i*d_GSF_i))*(1/24)))*1,".")</f>
        <v>3.0535054723378949</v>
      </c>
      <c r="L17" s="79">
        <f>IFERROR((d_DL/(Rad_Spec!BB17*d_Fam*d_Foffset*Fsurf!C17*d_EF_res*(1/365)*((d_ET_res_o*d_GSF_s)+(d_ET_res_i*d_GSF_i))*(1/24)))*1,".")</f>
        <v>2.0534702937979805</v>
      </c>
      <c r="M17" s="79">
        <f>IFERROR((d_DL/(Rad_Spec!AY17*d_Fam*d_Foffset*Fsurf!C17*d_EF_res*(1/365)*((d_ET_res_o*d_GSF_s)+(d_ET_res_i*d_GSF_i))*(1/24)))*1,".")</f>
        <v>8.4936655720108298</v>
      </c>
      <c r="N17" s="79">
        <f>IFERROR((d_DL/(Rad_Spec!AV17*d_Fam*d_Foffset*acf!D17*d_EF_res*(1/365)*((d_ET_res_o*d_GSF_s)+(d_ET_res_i*d_GSF_i))*(1/24)))*1,".")</f>
        <v>2.3951823965364998</v>
      </c>
      <c r="O17" s="79">
        <f>IFERROR((d_DL/(Rad_Spec!AZ17*d_Fam*d_Foffset*acf!E17*d_EF_res*(1/365)*((d_ET_res_o*d_GSF_s)+(d_ET_res_i*d_GSF_i))*(1/24)))*1,".")</f>
        <v>10.746385019127093</v>
      </c>
      <c r="P17" s="79">
        <f>IFERROR((d_DL/(Rad_Spec!BA17*d_Fam*d_Foffset*acf!F17*d_EF_res*(1/365)*((d_ET_res_o*d_GSF_s)+(d_ET_res_i*d_GSF_i))*(1/24)))*1,".")</f>
        <v>3.8107748294776935</v>
      </c>
      <c r="Q17" s="79">
        <f>IFERROR((d_DL/(Rad_Spec!BB17*d_Fam*d_Foffset*acf!G17*d_EF_res*(1/365)*((d_ET_res_o*d_GSF_s)+(d_ET_res_i*d_GSF_i))*(1/24)))*1,".")</f>
        <v>2.5627309266598801</v>
      </c>
      <c r="R17" s="79">
        <f>IFERROR((d_DL/(Rad_Spec!AY17*d_Fam*d_Foffset*acf!C17*d_EF_res*(1/365)*((d_ET_res_o*d_GSF_s)+(d_ET_res_i*d_GSF_i))*(1/24)))*1,".")</f>
        <v>10.600094633869515</v>
      </c>
    </row>
    <row r="18" spans="1:18">
      <c r="A18" s="78" t="s">
        <v>23</v>
      </c>
      <c r="B18" s="88" t="s">
        <v>6</v>
      </c>
      <c r="C18" s="79">
        <f>IFERROR((d_DL/(Rad_Spec!X18*d_IFDres_adj))*1,".")</f>
        <v>3.9290058859530489E-3</v>
      </c>
      <c r="D18" s="79">
        <f>IFERROR((d_DL/(Rad_Spec!AN18*d_IFAres_adj*(1/d_PEFm_pp)*d_SLF*(d_ET_res_o+d_ET_res_i)*(1/24)))*1,".")</f>
        <v>3.4373036760629322E-5</v>
      </c>
      <c r="E18" s="79">
        <f>IFERROR((d_DL/(Rad_Spec!AN18*d_IFAres_adj*(1/d_PEF)*d_SLF*(d_ET_res_o+d_ET_res_i)*(1/24)))*1,".")</f>
        <v>2.5129876000031377E-2</v>
      </c>
      <c r="F18" s="79">
        <f>IFERROR((d_DL/(Rad_Spec!AY18*d_Fam*d_Foffset*acf!C18*d_EF_res*(1/365)*((d_ET_res_o*d_GSF_s)+(d_ET_res_i*d_GSF_i))*(1/24)))*1,".")</f>
        <v>279373.42690133327</v>
      </c>
      <c r="G18" s="79">
        <f t="shared" si="4"/>
        <v>3.3977711153498923E-3</v>
      </c>
      <c r="H18" s="79">
        <f t="shared" si="5"/>
        <v>3.407493110490999E-5</v>
      </c>
      <c r="I18" s="80">
        <f>IFERROR((d_DL/(Rad_Spec!AV18*d_Fam*d_Foffset*Fsurf!C18*d_EF_res*(1/365)*((d_ET_res_o*d_GSF_s)+(d_ET_res_i*d_GSF_i))*(1/24)))*1,".")</f>
        <v>45272.336329167279</v>
      </c>
      <c r="J18" s="79">
        <f>IFERROR((d_DL/(Rad_Spec!AZ18*d_Fam*d_Foffset*Fsurf!C18*d_EF_res*(1/365)*((d_ET_res_o*d_GSF_s)+(d_ET_res_i*d_GSF_i))*(1/24)))*1,".")</f>
        <v>233314.77084314876</v>
      </c>
      <c r="K18" s="79">
        <f>IFERROR((d_DL/(Rad_Spec!BA18*d_Fam*d_Foffset*Fsurf!C18*d_EF_res*(1/365)*((d_ET_res_o*d_GSF_s)+(d_ET_res_i*d_GSF_i))*(1/24)))*1,".")</f>
        <v>81382.414115526888</v>
      </c>
      <c r="L18" s="79">
        <f>IFERROR((d_DL/(Rad_Spec!BB18*d_Fam*d_Foffset*Fsurf!C18*d_EF_res*(1/365)*((d_ET_res_o*d_GSF_s)+(d_ET_res_i*d_GSF_i))*(1/24)))*1,".")</f>
        <v>51788.808982608018</v>
      </c>
      <c r="M18" s="79">
        <f>IFERROR((d_DL/(Rad_Spec!AY18*d_Fam*d_Foffset*Fsurf!C18*d_EF_res*(1/365)*((d_ET_res_o*d_GSF_s)+(d_ET_res_i*d_GSF_i))*(1/24)))*1,".")</f>
        <v>236957.95326661004</v>
      </c>
      <c r="N18" s="79">
        <f>IFERROR((d_DL/(Rad_Spec!AV18*d_Fam*d_Foffset*acf!D18*d_EF_res*(1/365)*((d_ET_res_o*d_GSF_s)+(d_ET_res_i*d_GSF_i))*(1/24)))*1,".")</f>
        <v>53376.084532088222</v>
      </c>
      <c r="O18" s="79">
        <f>IFERROR((d_DL/(Rad_Spec!AZ18*d_Fam*d_Foffset*acf!E18*d_EF_res*(1/365)*((d_ET_res_o*d_GSF_s)+(d_ET_res_i*d_GSF_i))*(1/24)))*1,".")</f>
        <v>275078.1148240724</v>
      </c>
      <c r="P18" s="79">
        <f>IFERROR((d_DL/(Rad_Spec!BA18*d_Fam*d_Foffset*acf!F18*d_EF_res*(1/365)*((d_ET_res_o*d_GSF_s)+(d_ET_res_i*d_GSF_i))*(1/24)))*1,".")</f>
        <v>95949.866242206204</v>
      </c>
      <c r="Q18" s="79">
        <f>IFERROR((d_DL/(Rad_Spec!BB18*d_Fam*d_Foffset*acf!G18*d_EF_res*(1/365)*((d_ET_res_o*d_GSF_s)+(d_ET_res_i*d_GSF_i))*(1/24)))*1,".")</f>
        <v>61059.005790494855</v>
      </c>
      <c r="R18" s="79">
        <f>IFERROR((d_DL/(Rad_Spec!AY18*d_Fam*d_Foffset*acf!C18*d_EF_res*(1/365)*((d_ET_res_o*d_GSF_s)+(d_ET_res_i*d_GSF_i))*(1/24)))*1,".")</f>
        <v>279373.42690133327</v>
      </c>
    </row>
    <row r="19" spans="1:18">
      <c r="A19" s="78" t="s">
        <v>24</v>
      </c>
      <c r="B19" s="88" t="s">
        <v>6</v>
      </c>
      <c r="C19" s="79" t="str">
        <f>IFERROR((d_DL/(Rad_Spec!X19*d_IFDres_adj))*1,".")</f>
        <v>.</v>
      </c>
      <c r="D19" s="79" t="str">
        <f>IFERROR((d_DL/(Rad_Spec!AN19*d_IFAres_adj*(1/d_PEFm_pp)*d_SLF*(d_ET_res_o+d_ET_res_i)*(1/24)))*1,".")</f>
        <v>.</v>
      </c>
      <c r="E19" s="79" t="str">
        <f>IFERROR((d_DL/(Rad_Spec!AN19*d_IFAres_adj*(1/d_PEF)*d_SLF*(d_ET_res_o+d_ET_res_i)*(1/24)))*1,".")</f>
        <v>.</v>
      </c>
      <c r="F19" s="79">
        <f>IFERROR((d_DL/(Rad_Spec!AY19*d_Fam*d_Foffset*acf!C19*d_EF_res*(1/365)*((d_ET_res_o*d_GSF_s)+(d_ET_res_i*d_GSF_i))*(1/24)))*1,".")</f>
        <v>72151.904650708471</v>
      </c>
      <c r="G19" s="79">
        <f t="shared" si="4"/>
        <v>72151.904650708471</v>
      </c>
      <c r="H19" s="79">
        <f t="shared" si="5"/>
        <v>72151.904650708471</v>
      </c>
      <c r="I19" s="80" t="str">
        <f>IFERROR((d_DL/(Rad_Spec!AV19*d_Fam*d_Foffset*Fsurf!C19*d_EF_res*(1/365)*((d_ET_res_o*d_GSF_s)+(d_ET_res_i*d_GSF_i))*(1/24)))*1,".")</f>
        <v>.</v>
      </c>
      <c r="J19" s="79" t="str">
        <f>IFERROR((d_DL/(Rad_Spec!AZ19*d_Fam*d_Foffset*Fsurf!C19*d_EF_res*(1/365)*((d_ET_res_o*d_GSF_s)+(d_ET_res_i*d_GSF_i))*(1/24)))*1,".")</f>
        <v>.</v>
      </c>
      <c r="K19" s="79" t="str">
        <f>IFERROR((d_DL/(Rad_Spec!BA19*d_Fam*d_Foffset*Fsurf!C19*d_EF_res*(1/365)*((d_ET_res_o*d_GSF_s)+(d_ET_res_i*d_GSF_i))*(1/24)))*1,".")</f>
        <v>.</v>
      </c>
      <c r="L19" s="79" t="str">
        <f>IFERROR((d_DL/(Rad_Spec!BB19*d_Fam*d_Foffset*Fsurf!C19*d_EF_res*(1/365)*((d_ET_res_o*d_GSF_s)+(d_ET_res_i*d_GSF_i))*(1/24)))*1,".")</f>
        <v>.</v>
      </c>
      <c r="M19" s="79" t="str">
        <f>IFERROR((d_DL/(Rad_Spec!AY19*d_Fam*d_Foffset*Fsurf!C19*d_EF_res*(1/365)*((d_ET_res_o*d_GSF_s)+(d_ET_res_i*d_GSF_i))*(1/24)))*1,".")</f>
        <v>.</v>
      </c>
      <c r="N19" s="79">
        <f>IFERROR((d_DL/(Rad_Spec!AV19*d_Fam*d_Foffset*acf!D19*d_EF_res*(1/365)*((d_ET_res_o*d_GSF_s)+(d_ET_res_i*d_GSF_i))*(1/24)))*1,".")</f>
        <v>13896.187524733312</v>
      </c>
      <c r="O19" s="79">
        <f>IFERROR((d_DL/(Rad_Spec!AZ19*d_Fam*d_Foffset*acf!E19*d_EF_res*(1/365)*((d_ET_res_o*d_GSF_s)+(d_ET_res_i*d_GSF_i))*(1/24)))*1,".")</f>
        <v>71325.564286241774</v>
      </c>
      <c r="P19" s="79">
        <f>IFERROR((d_DL/(Rad_Spec!BA19*d_Fam*d_Foffset*acf!F19*d_EF_res*(1/365)*((d_ET_res_o*d_GSF_s)+(d_ET_res_i*d_GSF_i))*(1/24)))*1,".")</f>
        <v>24914.339302458484</v>
      </c>
      <c r="Q19" s="79">
        <f>IFERROR((d_DL/(Rad_Spec!BB19*d_Fam*d_Foffset*acf!G19*d_EF_res*(1/365)*((d_ET_res_o*d_GSF_s)+(d_ET_res_i*d_GSF_i))*(1/24)))*1,".")</f>
        <v>15803.507381069256</v>
      </c>
      <c r="R19" s="79">
        <f>IFERROR((d_DL/(Rad_Spec!AY19*d_Fam*d_Foffset*acf!C19*d_EF_res*(1/365)*((d_ET_res_o*d_GSF_s)+(d_ET_res_i*d_GSF_i))*(1/24)))*1,".")</f>
        <v>72151.904650708471</v>
      </c>
    </row>
    <row r="20" spans="1:18">
      <c r="A20" s="78" t="s">
        <v>25</v>
      </c>
      <c r="B20" s="88" t="s">
        <v>6</v>
      </c>
      <c r="C20" s="79" t="str">
        <f>IFERROR((d_DL/(Rad_Spec!X20*d_IFDres_adj))*1,".")</f>
        <v>.</v>
      </c>
      <c r="D20" s="79" t="str">
        <f>IFERROR((d_DL/(Rad_Spec!AN20*d_IFAres_adj*(1/d_PEFm_pp)*d_SLF*(d_ET_res_o+d_ET_res_i)*(1/24)))*1,".")</f>
        <v>.</v>
      </c>
      <c r="E20" s="79" t="str">
        <f>IFERROR((d_DL/(Rad_Spec!AN20*d_IFAres_adj*(1/d_PEF)*d_SLF*(d_ET_res_o+d_ET_res_i)*(1/24)))*1,".")</f>
        <v>.</v>
      </c>
      <c r="F20" s="79">
        <f>IFERROR((d_DL/(Rad_Spec!AY20*d_Fam*d_Foffset*acf!C20*d_EF_res*(1/365)*((d_ET_res_o*d_GSF_s)+(d_ET_res_i*d_GSF_i))*(1/24)))*1,".")</f>
        <v>32729.644168110452</v>
      </c>
      <c r="G20" s="79">
        <f t="shared" si="4"/>
        <v>32729.644168110452</v>
      </c>
      <c r="H20" s="79">
        <f t="shared" si="5"/>
        <v>32729.644168110452</v>
      </c>
      <c r="I20" s="80">
        <f>IFERROR((d_DL/(Rad_Spec!AV20*d_Fam*d_Foffset*Fsurf!C20*d_EF_res*(1/365)*((d_ET_res_o*d_GSF_s)+(d_ET_res_i*d_GSF_i))*(1/24)))*1,".")</f>
        <v>5319.939911053897</v>
      </c>
      <c r="J20" s="79">
        <f>IFERROR((d_DL/(Rad_Spec!AZ20*d_Fam*d_Foffset*Fsurf!C20*d_EF_res*(1/365)*((d_ET_res_o*d_GSF_s)+(d_ET_res_i*d_GSF_i))*(1/24)))*1,".")</f>
        <v>27344.491142817034</v>
      </c>
      <c r="K20" s="79">
        <f>IFERROR((d_DL/(Rad_Spec!BA20*d_Fam*d_Foffset*Fsurf!C20*d_EF_res*(1/365)*((d_ET_res_o*d_GSF_s)+(d_ET_res_i*d_GSF_i))*(1/24)))*1,".")</f>
        <v>9561.010889096864</v>
      </c>
      <c r="L20" s="79">
        <f>IFERROR((d_DL/(Rad_Spec!BB20*d_Fam*d_Foffset*Fsurf!C20*d_EF_res*(1/365)*((d_ET_res_o*d_GSF_s)+(d_ET_res_i*d_GSF_i))*(1/24)))*1,".")</f>
        <v>6049.6661820391664</v>
      </c>
      <c r="M20" s="79">
        <f>IFERROR((d_DL/(Rad_Spec!AY20*d_Fam*d_Foffset*Fsurf!C20*d_EF_res*(1/365)*((d_ET_res_o*d_GSF_s)+(d_ET_res_i*d_GSF_i))*(1/24)))*1,".")</f>
        <v>27760.512441145416</v>
      </c>
      <c r="N20" s="79">
        <f>IFERROR((d_DL/(Rad_Spec!AV20*d_Fam*d_Foffset*acf!D20*d_EF_res*(1/365)*((d_ET_res_o*d_GSF_s)+(d_ET_res_i*d_GSF_i))*(1/24)))*1,".")</f>
        <v>6272.2091551325448</v>
      </c>
      <c r="O20" s="79">
        <f>IFERROR((d_DL/(Rad_Spec!AZ20*d_Fam*d_Foffset*acf!E20*d_EF_res*(1/365)*((d_ET_res_o*d_GSF_s)+(d_ET_res_i*d_GSF_i))*(1/24)))*1,".")</f>
        <v>32239.155057381286</v>
      </c>
      <c r="P20" s="79">
        <f>IFERROR((d_DL/(Rad_Spec!BA20*d_Fam*d_Foffset*acf!F20*d_EF_res*(1/365)*((d_ET_res_o*d_GSF_s)+(d_ET_res_i*d_GSF_i))*(1/24)))*1,".")</f>
        <v>11272.431838245206</v>
      </c>
      <c r="Q20" s="79">
        <f>IFERROR((d_DL/(Rad_Spec!BB20*d_Fam*d_Foffset*acf!G20*d_EF_res*(1/365)*((d_ET_res_o*d_GSF_s)+(d_ET_res_i*d_GSF_i))*(1/24)))*1,".")</f>
        <v>7132.5564286241779</v>
      </c>
      <c r="R20" s="79">
        <f>IFERROR((d_DL/(Rad_Spec!AY20*d_Fam*d_Foffset*acf!C20*d_EF_res*(1/365)*((d_ET_res_o*d_GSF_s)+(d_ET_res_i*d_GSF_i))*(1/24)))*1,".")</f>
        <v>32729.644168110452</v>
      </c>
    </row>
    <row r="21" spans="1:18">
      <c r="A21" s="78" t="s">
        <v>26</v>
      </c>
      <c r="B21" s="88" t="s">
        <v>6</v>
      </c>
      <c r="C21" s="79" t="str">
        <f>IFERROR((d_DL/(Rad_Spec!X21*d_IFDres_adj))*1,".")</f>
        <v>.</v>
      </c>
      <c r="D21" s="79">
        <f>IFERROR((d_DL/(Rad_Spec!AN21*d_IFAres_adj*(1/d_PEFm_pp)*d_SLF*(d_ET_res_o+d_ET_res_i)*(1/24)))*1,".")</f>
        <v>7.8110696134784427E-2</v>
      </c>
      <c r="E21" s="79">
        <f>IFERROR((d_DL/(Rad_Spec!AN21*d_IFAres_adj*(1/d_PEF)*d_SLF*(d_ET_res_o+d_ET_res_i)*(1/24)))*1,".")</f>
        <v>57.106159162276029</v>
      </c>
      <c r="F21" s="79">
        <f>IFERROR((d_DL/(Rad_Spec!AY21*d_Fam*d_Foffset*acf!C21*d_EF_res*(1/365)*((d_ET_res_o*d_GSF_s)+(d_ET_res_i*d_GSF_i))*(1/24)))*1,".")</f>
        <v>430379782.12703294</v>
      </c>
      <c r="G21" s="79">
        <f t="shared" si="4"/>
        <v>57.10615158498473</v>
      </c>
      <c r="H21" s="79">
        <f t="shared" si="5"/>
        <v>7.811069612060792E-2</v>
      </c>
      <c r="I21" s="80">
        <f>IFERROR((d_DL/(Rad_Spec!AV21*d_Fam*d_Foffset*Fsurf!C21*d_EF_res*(1/365)*((d_ET_res_o*d_GSF_s)+(d_ET_res_i*d_GSF_i))*(1/24)))*1,".")</f>
        <v>277236395.43151021</v>
      </c>
      <c r="J21" s="79">
        <f>IFERROR((d_DL/(Rad_Spec!AZ21*d_Fam*d_Foffset*Fsurf!C21*d_EF_res*(1/365)*((d_ET_res_o*d_GSF_s)+(d_ET_res_i*d_GSF_i))*(1/24)))*1,".")</f>
        <v>590322324.75502598</v>
      </c>
      <c r="K21" s="79">
        <f>IFERROR((d_DL/(Rad_Spec!BA21*d_Fam*d_Foffset*Fsurf!C21*d_EF_res*(1/365)*((d_ET_res_o*d_GSF_s)+(d_ET_res_i*d_GSF_i))*(1/24)))*1,".")</f>
        <v>315564007.70314747</v>
      </c>
      <c r="L21" s="79">
        <f>IFERROR((d_DL/(Rad_Spec!BB21*d_Fam*d_Foffset*Fsurf!C21*d_EF_res*(1/365)*((d_ET_res_o*d_GSF_s)+(d_ET_res_i*d_GSF_i))*(1/24)))*1,".")</f>
        <v>277236395.43151021</v>
      </c>
      <c r="M21" s="79">
        <f>IFERROR((d_DL/(Rad_Spec!AY21*d_Fam*d_Foffset*Fsurf!C21*d_EF_res*(1/365)*((d_ET_res_o*d_GSF_s)+(d_ET_res_i*d_GSF_i))*(1/24)))*1,".")</f>
        <v>329092441.7284025</v>
      </c>
      <c r="N21" s="79">
        <f>IFERROR((d_DL/(Rad_Spec!AV21*d_Fam*d_Foffset*acf!D21*d_EF_res*(1/365)*((d_ET_res_o*d_GSF_s)+(d_ET_res_i*d_GSF_i))*(1/24)))*1,".")</f>
        <v>362563597.13654166</v>
      </c>
      <c r="O21" s="79">
        <f>IFERROR((d_DL/(Rad_Spec!AZ21*d_Fam*d_Foffset*acf!E21*d_EF_res*(1/365)*((d_ET_res_o*d_GSF_s)+(d_ET_res_i*d_GSF_i))*(1/24)))*1,".")</f>
        <v>772010418.04073954</v>
      </c>
      <c r="P21" s="79">
        <f>IFERROR((d_DL/(Rad_Spec!BA21*d_Fam*d_Foffset*acf!F21*d_EF_res*(1/365)*((d_ET_res_o*d_GSF_s)+(d_ET_res_i*d_GSF_i))*(1/24)))*1,".")</f>
        <v>412687596.74067187</v>
      </c>
      <c r="Q21" s="79">
        <f>IFERROR((d_DL/(Rad_Spec!BB21*d_Fam*d_Foffset*acf!G21*d_EF_res*(1/365)*((d_ET_res_o*d_GSF_s)+(d_ET_res_i*d_GSF_i))*(1/24)))*1,".")</f>
        <v>362563597.13654166</v>
      </c>
      <c r="R21" s="79">
        <f>IFERROR((d_DL/(Rad_Spec!AY21*d_Fam*d_Foffset*acf!C21*d_EF_res*(1/365)*((d_ET_res_o*d_GSF_s)+(d_ET_res_i*d_GSF_i))*(1/24)))*1,".")</f>
        <v>430379782.12703294</v>
      </c>
    </row>
    <row r="22" spans="1:18">
      <c r="A22" s="78" t="s">
        <v>27</v>
      </c>
      <c r="B22" s="88" t="s">
        <v>6</v>
      </c>
      <c r="C22" s="79">
        <f>IFERROR((d_DL/(Rad_Spec!X22*d_IFDres_adj))*1,".")</f>
        <v>2.8889749161419474E-2</v>
      </c>
      <c r="D22" s="79">
        <f>IFERROR((d_DL/(Rad_Spec!AN22*d_IFAres_adj*(1/d_PEFm_pp)*d_SLF*(d_ET_res_o+d_ET_res_i)*(1/24)))*1,".")</f>
        <v>1.9127920575475057E-5</v>
      </c>
      <c r="E22" s="79">
        <f>IFERROR((d_DL/(Rad_Spec!AN22*d_IFAres_adj*(1/d_PEF)*d_SLF*(d_ET_res_o+d_ET_res_i)*(1/24)))*1,".")</f>
        <v>1.3984282958400341E-2</v>
      </c>
      <c r="F22" s="79">
        <f>IFERROR((d_DL/(Rad_Spec!AY22*d_Fam*d_Foffset*acf!C22*d_EF_res*(1/365)*((d_ET_res_o*d_GSF_s)+(d_ET_res_i*d_GSF_i))*(1/24)))*1,".")</f>
        <v>234.16572691184476</v>
      </c>
      <c r="G22" s="79">
        <f t="shared" si="4"/>
        <v>9.4226306736379696E-3</v>
      </c>
      <c r="H22" s="79">
        <f t="shared" si="5"/>
        <v>1.911526278686391E-5</v>
      </c>
      <c r="I22" s="80">
        <f>IFERROR((d_DL/(Rad_Spec!AV22*d_Fam*d_Foffset*Fsurf!C22*d_EF_res*(1/365)*((d_ET_res_o*d_GSF_s)+(d_ET_res_i*d_GSF_i))*(1/24)))*1,".")</f>
        <v>245.05919929050526</v>
      </c>
      <c r="J22" s="79">
        <f>IFERROR((d_DL/(Rad_Spec!AZ22*d_Fam*d_Foffset*Fsurf!C22*d_EF_res*(1/365)*((d_ET_res_o*d_GSF_s)+(d_ET_res_i*d_GSF_i))*(1/24)))*1,".")</f>
        <v>337.84172850165038</v>
      </c>
      <c r="K22" s="79">
        <f>IFERROR((d_DL/(Rad_Spec!BA22*d_Fam*d_Foffset*Fsurf!C22*d_EF_res*(1/365)*((d_ET_res_o*d_GSF_s)+(d_ET_res_i*d_GSF_i))*(1/24)))*1,".")</f>
        <v>246.09102749804424</v>
      </c>
      <c r="L22" s="79">
        <f>IFERROR((d_DL/(Rad_Spec!BB22*d_Fam*d_Foffset*Fsurf!C22*d_EF_res*(1/365)*((d_ET_res_o*d_GSF_s)+(d_ET_res_i*d_GSF_i))*(1/24)))*1,".")</f>
        <v>245.05919929050526</v>
      </c>
      <c r="M22" s="79">
        <f>IFERROR((d_DL/(Rad_Spec!AY22*d_Fam*d_Foffset*Fsurf!C22*d_EF_res*(1/365)*((d_ET_res_o*d_GSF_s)+(d_ET_res_i*d_GSF_i))*(1/24)))*1,".")</f>
        <v>169.80835889183808</v>
      </c>
      <c r="N22" s="79">
        <f>IFERROR((d_DL/(Rad_Spec!AV22*d_Fam*d_Foffset*acf!D22*d_EF_res*(1/365)*((d_ET_res_o*d_GSF_s)+(d_ET_res_i*d_GSF_i))*(1/24)))*1,".")</f>
        <v>337.93663582160667</v>
      </c>
      <c r="O22" s="79">
        <f>IFERROR((d_DL/(Rad_Spec!AZ22*d_Fam*d_Foffset*acf!E22*d_EF_res*(1/365)*((d_ET_res_o*d_GSF_s)+(d_ET_res_i*d_GSF_i))*(1/24)))*1,".")</f>
        <v>465.88374360377583</v>
      </c>
      <c r="P22" s="79">
        <f>IFERROR((d_DL/(Rad_Spec!BA22*d_Fam*d_Foffset*acf!F22*d_EF_res*(1/365)*((d_ET_res_o*d_GSF_s)+(d_ET_res_i*d_GSF_i))*(1/24)))*1,".")</f>
        <v>339.35952691980299</v>
      </c>
      <c r="Q22" s="79">
        <f>IFERROR((d_DL/(Rad_Spec!BB22*d_Fam*d_Foffset*acf!G22*d_EF_res*(1/365)*((d_ET_res_o*d_GSF_s)+(d_ET_res_i*d_GSF_i))*(1/24)))*1,".")</f>
        <v>337.93663582160667</v>
      </c>
      <c r="R22" s="79">
        <f>IFERROR((d_DL/(Rad_Spec!AY22*d_Fam*d_Foffset*acf!C22*d_EF_res*(1/365)*((d_ET_res_o*d_GSF_s)+(d_ET_res_i*d_GSF_i))*(1/24)))*1,".")</f>
        <v>234.16572691184476</v>
      </c>
    </row>
    <row r="23" spans="1:18">
      <c r="A23" s="81" t="s">
        <v>28</v>
      </c>
      <c r="B23" s="88" t="s">
        <v>8</v>
      </c>
      <c r="C23" s="79">
        <f>IFERROR((d_DL/(Rad_Spec!X23*d_IFDres_adj))*1,".")</f>
        <v>1.5178278808869393E-2</v>
      </c>
      <c r="D23" s="79">
        <f>IFERROR((d_DL/(Rad_Spec!AN23*d_IFAres_adj*(1/d_PEFm_pp)*d_SLF*(d_ET_res_o+d_ET_res_i)*(1/24)))*1,".")</f>
        <v>1.5618040003858765E-5</v>
      </c>
      <c r="E23" s="79">
        <f>IFERROR((d_DL/(Rad_Spec!AN23*d_IFAres_adj*(1/d_PEF)*d_SLF*(d_ET_res_o+d_ET_res_i)*(1/24)))*1,".")</f>
        <v>1.1418234920402609E-2</v>
      </c>
      <c r="F23" s="79">
        <f>IFERROR((d_DL/(Rad_Spec!AY23*d_Fam*d_Foffset*acf!C23*d_EF_res*(1/365)*((d_ET_res_o*d_GSF_s)+(d_ET_res_i*d_GSF_i))*(1/24)))*1,".")</f>
        <v>385.6022449147145</v>
      </c>
      <c r="G23" s="79">
        <f t="shared" si="4"/>
        <v>6.5161256176162951E-3</v>
      </c>
      <c r="H23" s="79">
        <f t="shared" si="5"/>
        <v>1.5601985349312199E-5</v>
      </c>
      <c r="I23" s="80">
        <f>IFERROR((d_DL/(Rad_Spec!AV23*d_Fam*d_Foffset*Fsurf!C23*d_EF_res*(1/365)*((d_ET_res_o*d_GSF_s)+(d_ET_res_i*d_GSF_i))*(1/24)))*1,".")</f>
        <v>73.390901150476424</v>
      </c>
      <c r="J23" s="79">
        <f>IFERROR((d_DL/(Rad_Spec!AZ23*d_Fam*d_Foffset*Fsurf!C23*d_EF_res*(1/365)*((d_ET_res_o*d_GSF_s)+(d_ET_res_i*d_GSF_i))*(1/24)))*1,".")</f>
        <v>294.25597159389133</v>
      </c>
      <c r="K23" s="79">
        <f>IFERROR((d_DL/(Rad_Spec!BA23*d_Fam*d_Foffset*Fsurf!C23*d_EF_res*(1/365)*((d_ET_res_o*d_GSF_s)+(d_ET_res_i*d_GSF_i))*(1/24)))*1,".")</f>
        <v>106.63635209898281</v>
      </c>
      <c r="L23" s="79">
        <f>IFERROR((d_DL/(Rad_Spec!BB23*d_Fam*d_Foffset*Fsurf!C23*d_EF_res*(1/365)*((d_ET_res_o*d_GSF_s)+(d_ET_res_i*d_GSF_i))*(1/24)))*1,".")</f>
        <v>75.159356599885498</v>
      </c>
      <c r="M23" s="79">
        <f>IFERROR((d_DL/(Rad_Spec!AY23*d_Fam*d_Foffset*Fsurf!C23*d_EF_res*(1/365)*((d_ET_res_o*d_GSF_s)+(d_ET_res_i*d_GSF_i))*(1/24)))*1,".")</f>
        <v>298.45374993398946</v>
      </c>
      <c r="N23" s="79">
        <f>IFERROR((d_DL/(Rad_Spec!AV23*d_Fam*d_Foffset*acf!D23*d_EF_res*(1/365)*((d_ET_res_o*d_GSF_s)+(d_ET_res_i*d_GSF_i))*(1/24)))*1,".")</f>
        <v>94.821044286415557</v>
      </c>
      <c r="O23" s="79">
        <f>IFERROR((d_DL/(Rad_Spec!AZ23*d_Fam*d_Foffset*acf!E23*d_EF_res*(1/365)*((d_ET_res_o*d_GSF_s)+(d_ET_res_i*d_GSF_i))*(1/24)))*1,".")</f>
        <v>380.17871529930756</v>
      </c>
      <c r="P23" s="79">
        <f>IFERROR((d_DL/(Rad_Spec!BA23*d_Fam*d_Foffset*acf!F23*d_EF_res*(1/365)*((d_ET_res_o*d_GSF_s)+(d_ET_res_i*d_GSF_i))*(1/24)))*1,".")</f>
        <v>137.77416691188586</v>
      </c>
      <c r="Q23" s="79">
        <f>IFERROR((d_DL/(Rad_Spec!BB23*d_Fam*d_Foffset*acf!G23*d_EF_res*(1/365)*((d_ET_res_o*d_GSF_s)+(d_ET_res_i*d_GSF_i))*(1/24)))*1,".")</f>
        <v>97.105888727052061</v>
      </c>
      <c r="R23" s="79">
        <f>IFERROR((d_DL/(Rad_Spec!AY23*d_Fam*d_Foffset*acf!C23*d_EF_res*(1/365)*((d_ET_res_o*d_GSF_s)+(d_ET_res_i*d_GSF_i))*(1/24)))*1,".")</f>
        <v>385.6022449147145</v>
      </c>
    </row>
    <row r="24" spans="1:18">
      <c r="A24" s="78" t="s">
        <v>29</v>
      </c>
      <c r="B24" s="88" t="s">
        <v>6</v>
      </c>
      <c r="C24" s="79" t="str">
        <f>IFERROR((d_DL/(Rad_Spec!X24*d_IFDres_adj))*1,".")</f>
        <v>.</v>
      </c>
      <c r="D24" s="79" t="str">
        <f>IFERROR((d_DL/(Rad_Spec!AN24*d_IFAres_adj*(1/d_PEFm_pp)*d_SLF*(d_ET_res_o+d_ET_res_i)*(1/24)))*1,".")</f>
        <v>.</v>
      </c>
      <c r="E24" s="79" t="str">
        <f>IFERROR((d_DL/(Rad_Spec!AN24*d_IFAres_adj*(1/d_PEF)*d_SLF*(d_ET_res_o+d_ET_res_i)*(1/24)))*1,".")</f>
        <v>.</v>
      </c>
      <c r="F24" s="79">
        <f>IFERROR((d_DL/(Rad_Spec!AY24*d_Fam*d_Foffset*acf!C24*d_EF_res*(1/365)*((d_ET_res_o*d_GSF_s)+(d_ET_res_i*d_GSF_i))*(1/24)))*1,".")</f>
        <v>3557.7665691026132</v>
      </c>
      <c r="G24" s="79">
        <f t="shared" si="4"/>
        <v>3557.7665691026132</v>
      </c>
      <c r="H24" s="79">
        <f t="shared" si="5"/>
        <v>3557.7665691026132</v>
      </c>
      <c r="I24" s="80">
        <f>IFERROR((d_DL/(Rad_Spec!AV24*d_Fam*d_Foffset*Fsurf!C24*d_EF_res*(1/365)*((d_ET_res_o*d_GSF_s)+(d_ET_res_i*d_GSF_i))*(1/24)))*1,".")</f>
        <v>592.62281174874784</v>
      </c>
      <c r="J24" s="79">
        <f>IFERROR((d_DL/(Rad_Spec!AZ24*d_Fam*d_Foffset*Fsurf!C24*d_EF_res*(1/365)*((d_ET_res_o*d_GSF_s)+(d_ET_res_i*d_GSF_i))*(1/24)))*1,".")</f>
        <v>2943.7473001898588</v>
      </c>
      <c r="K24" s="79">
        <f>IFERROR((d_DL/(Rad_Spec!BA24*d_Fam*d_Foffset*Fsurf!C24*d_EF_res*(1/365)*((d_ET_res_o*d_GSF_s)+(d_ET_res_i*d_GSF_i))*(1/24)))*1,".")</f>
        <v>1031.4351227382788</v>
      </c>
      <c r="L24" s="79">
        <f>IFERROR((d_DL/(Rad_Spec!BB24*d_Fam*d_Foffset*Fsurf!C24*d_EF_res*(1/365)*((d_ET_res_o*d_GSF_s)+(d_ET_res_i*d_GSF_i))*(1/24)))*1,".")</f>
        <v>662.34314254271828</v>
      </c>
      <c r="M24" s="79">
        <f>IFERROR((d_DL/(Rad_Spec!AY24*d_Fam*d_Foffset*Fsurf!C24*d_EF_res*(1/365)*((d_ET_res_o*d_GSF_s)+(d_ET_res_i*d_GSF_i))*(1/24)))*1,".")</f>
        <v>2982.2016505470351</v>
      </c>
      <c r="N24" s="79">
        <f>IFERROR((d_DL/(Rad_Spec!AV24*d_Fam*d_Foffset*acf!D24*d_EF_res*(1/365)*((d_ET_res_o*d_GSF_s)+(d_ET_res_i*d_GSF_i))*(1/24)))*1,".")</f>
        <v>706.99901441625616</v>
      </c>
      <c r="O24" s="79">
        <f>IFERROR((d_DL/(Rad_Spec!AZ24*d_Fam*d_Foffset*acf!E24*d_EF_res*(1/365)*((d_ET_res_o*d_GSF_s)+(d_ET_res_i*d_GSF_i))*(1/24)))*1,".")</f>
        <v>3511.8905291265023</v>
      </c>
      <c r="P24" s="79">
        <f>IFERROR((d_DL/(Rad_Spec!BA24*d_Fam*d_Foffset*acf!F24*d_EF_res*(1/365)*((d_ET_res_o*d_GSF_s)+(d_ET_res_i*d_GSF_i))*(1/24)))*1,".")</f>
        <v>1230.5021014267666</v>
      </c>
      <c r="Q24" s="79">
        <f>IFERROR((d_DL/(Rad_Spec!BB24*d_Fam*d_Foffset*acf!G24*d_EF_res*(1/365)*((d_ET_res_o*d_GSF_s)+(d_ET_res_i*d_GSF_i))*(1/24)))*1,".")</f>
        <v>790.17536905346287</v>
      </c>
      <c r="R24" s="79">
        <f>IFERROR((d_DL/(Rad_Spec!AY24*d_Fam*d_Foffset*acf!C24*d_EF_res*(1/365)*((d_ET_res_o*d_GSF_s)+(d_ET_res_i*d_GSF_i))*(1/24)))*1,".")</f>
        <v>3557.7665691026132</v>
      </c>
    </row>
    <row r="25" spans="1:18">
      <c r="A25" s="81" t="s">
        <v>30</v>
      </c>
      <c r="B25" s="88" t="s">
        <v>8</v>
      </c>
      <c r="C25" s="79" t="str">
        <f>IFERROR((d_DL/(Rad_Spec!X25*d_IFDres_adj))*1,".")</f>
        <v>.</v>
      </c>
      <c r="D25" s="79">
        <f>IFERROR((d_DL/(Rad_Spec!AN25*d_IFAres_adj*(1/d_PEFm_pp)*d_SLF*(d_ET_res_o+d_ET_res_i)*(1/24)))*1,".")</f>
        <v>9.0870764052985872E-2</v>
      </c>
      <c r="E25" s="79">
        <f>IFERROR((d_DL/(Rad_Spec!AN25*d_IFAres_adj*(1/d_PEF)*d_SLF*(d_ET_res_o+d_ET_res_i)*(1/24)))*1,".")</f>
        <v>66.434951575044778</v>
      </c>
      <c r="F25" s="79">
        <f>IFERROR((d_DL/(Rad_Spec!AY25*d_Fam*d_Foffset*acf!C25*d_EF_res*(1/365)*((d_ET_res_o*d_GSF_s)+(d_ET_res_i*d_GSF_i))*(1/24)))*1,".")</f>
        <v>6924.2553656728296</v>
      </c>
      <c r="G25" s="79">
        <f t="shared" si="4"/>
        <v>65.803597217966626</v>
      </c>
      <c r="H25" s="79">
        <f t="shared" si="5"/>
        <v>9.0869571522243245E-2</v>
      </c>
      <c r="I25" s="80">
        <f>IFERROR((d_DL/(Rad_Spec!AV25*d_Fam*d_Foffset*Fsurf!C25*d_EF_res*(1/365)*((d_ET_res_o*d_GSF_s)+(d_ET_res_i*d_GSF_i))*(1/24)))*1,".")</f>
        <v>1177.3505652227411</v>
      </c>
      <c r="J25" s="79">
        <f>IFERROR((d_DL/(Rad_Spec!AZ25*d_Fam*d_Foffset*Fsurf!C25*d_EF_res*(1/365)*((d_ET_res_o*d_GSF_s)+(d_ET_res_i*d_GSF_i))*(1/24)))*1,".")</f>
        <v>5687.2018828556147</v>
      </c>
      <c r="K25" s="79">
        <f>IFERROR((d_DL/(Rad_Spec!BA25*d_Fam*d_Foffset*Fsurf!C25*d_EF_res*(1/365)*((d_ET_res_o*d_GSF_s)+(d_ET_res_i*d_GSF_i))*(1/24)))*1,".")</f>
        <v>1994.3233942851782</v>
      </c>
      <c r="L25" s="79">
        <f>IFERROR((d_DL/(Rad_Spec!BB25*d_Fam*d_Foffset*Fsurf!C25*d_EF_res*(1/365)*((d_ET_res_o*d_GSF_s)+(d_ET_res_i*d_GSF_i))*(1/24)))*1,".")</f>
        <v>1290.5573503403125</v>
      </c>
      <c r="M25" s="79">
        <f>IFERROR((d_DL/(Rad_Spec!AY25*d_Fam*d_Foffset*Fsurf!C25*d_EF_res*(1/365)*((d_ET_res_o*d_GSF_s)+(d_ET_res_i*d_GSF_i))*(1/24)))*1,".")</f>
        <v>5765.4082978125143</v>
      </c>
      <c r="N25" s="79">
        <f>IFERROR((d_DL/(Rad_Spec!AV25*d_Fam*d_Foffset*acf!D25*d_EF_res*(1/365)*((d_ET_res_o*d_GSF_s)+(d_ET_res_i*d_GSF_i))*(1/24)))*1,".")</f>
        <v>1413.9980288325123</v>
      </c>
      <c r="O25" s="79">
        <f>IFERROR((d_DL/(Rad_Spec!AZ25*d_Fam*d_Foffset*acf!E25*d_EF_res*(1/365)*((d_ET_res_o*d_GSF_s)+(d_ET_res_i*d_GSF_i))*(1/24)))*1,".")</f>
        <v>6830.329461309595</v>
      </c>
      <c r="P25" s="79">
        <f>IFERROR((d_DL/(Rad_Spec!BA25*d_Fam*d_Foffset*acf!F25*d_EF_res*(1/365)*((d_ET_res_o*d_GSF_s)+(d_ET_res_i*d_GSF_i))*(1/24)))*1,".")</f>
        <v>2395.1823965364993</v>
      </c>
      <c r="Q25" s="79">
        <f>IFERROR((d_DL/(Rad_Spec!BB25*d_Fam*d_Foffset*acf!G25*d_EF_res*(1/365)*((d_ET_res_o*d_GSF_s)+(d_ET_res_i*d_GSF_i))*(1/24)))*1,".")</f>
        <v>1549.9593777587156</v>
      </c>
      <c r="R25" s="79">
        <f>IFERROR((d_DL/(Rad_Spec!AY25*d_Fam*d_Foffset*acf!C25*d_EF_res*(1/365)*((d_ET_res_o*d_GSF_s)+(d_ET_res_i*d_GSF_i))*(1/24)))*1,".")</f>
        <v>6924.2553656728296</v>
      </c>
    </row>
    <row r="26" spans="1:18">
      <c r="A26" s="78" t="s">
        <v>31</v>
      </c>
      <c r="B26" s="88" t="s">
        <v>6</v>
      </c>
      <c r="C26" s="79">
        <f>IFERROR((d_DL/(Rad_Spec!X26*d_IFDres_adj))*1,".")</f>
        <v>1.1290246798715656E-2</v>
      </c>
      <c r="D26" s="79">
        <f>IFERROR((d_DL/(Rad_Spec!AN26*d_IFAres_adj*(1/d_PEFm_pp)*d_SLF*(d_ET_res_o+d_ET_res_i)*(1/24)))*1,".")</f>
        <v>2.1306730071489442E-6</v>
      </c>
      <c r="E26" s="79">
        <f>IFERROR((d_DL/(Rad_Spec!AN26*d_IFAres_adj*(1/d_PEF)*d_SLF*(d_ET_res_o+d_ET_res_i)*(1/24)))*1,".")</f>
        <v>1.5577194659622102E-3</v>
      </c>
      <c r="F26" s="79">
        <f>IFERROR((d_DL/(Rad_Spec!AY26*d_Fam*d_Foffset*acf!C26*d_EF_res*(1/365)*((d_ET_res_o*d_GSF_s)+(d_ET_res_i*d_GSF_i))*(1/24)))*1,".")</f>
        <v>33.236425755229583</v>
      </c>
      <c r="G26" s="79">
        <f t="shared" si="4"/>
        <v>1.368801299061483E-3</v>
      </c>
      <c r="H26" s="79">
        <f t="shared" si="5"/>
        <v>2.1302708500903544E-6</v>
      </c>
      <c r="I26" s="80">
        <f>IFERROR((d_DL/(Rad_Spec!AV26*d_Fam*d_Foffset*Fsurf!C26*d_EF_res*(1/365)*((d_ET_res_o*d_GSF_s)+(d_ET_res_i*d_GSF_i))*(1/24)))*1,".")</f>
        <v>7.487309109809301</v>
      </c>
      <c r="J26" s="79">
        <f>IFERROR((d_DL/(Rad_Spec!AZ26*d_Fam*d_Foffset*Fsurf!C26*d_EF_res*(1/365)*((d_ET_res_o*d_GSF_s)+(d_ET_res_i*d_GSF_i))*(1/24)))*1,".")</f>
        <v>25.120819235525762</v>
      </c>
      <c r="K26" s="79">
        <f>IFERROR((d_DL/(Rad_Spec!BA26*d_Fam*d_Foffset*Fsurf!C26*d_EF_res*(1/365)*((d_ET_res_o*d_GSF_s)+(d_ET_res_i*d_GSF_i))*(1/24)))*1,".")</f>
        <v>9.8550906231678006</v>
      </c>
      <c r="L26" s="79">
        <f>IFERROR((d_DL/(Rad_Spec!BB26*d_Fam*d_Foffset*Fsurf!C26*d_EF_res*(1/365)*((d_ET_res_o*d_GSF_s)+(d_ET_res_i*d_GSF_i))*(1/24)))*1,".")</f>
        <v>7.5858263349383712</v>
      </c>
      <c r="M26" s="79">
        <f>IFERROR((d_DL/(Rad_Spec!AY26*d_Fam*d_Foffset*Fsurf!C26*d_EF_res*(1/365)*((d_ET_res_o*d_GSF_s)+(d_ET_res_i*d_GSF_i))*(1/24)))*1,".")</f>
        <v>23.774267349949636</v>
      </c>
      <c r="N26" s="79">
        <f>IFERROR((d_DL/(Rad_Spec!AV26*d_Fam*d_Foffset*acf!D26*d_EF_res*(1/365)*((d_ET_res_o*d_GSF_s)+(d_ET_res_i*d_GSF_i))*(1/24)))*1,".")</f>
        <v>10.467258135513404</v>
      </c>
      <c r="O26" s="79">
        <f>IFERROR((d_DL/(Rad_Spec!AZ26*d_Fam*d_Foffset*acf!E26*d_EF_res*(1/365)*((d_ET_res_o*d_GSF_s)+(d_ET_res_i*d_GSF_i))*(1/24)))*1,".")</f>
        <v>35.118905291265015</v>
      </c>
      <c r="P26" s="79">
        <f>IFERROR((d_DL/(Rad_Spec!BA26*d_Fam*d_Foffset*acf!F26*d_EF_res*(1/365)*((d_ET_res_o*d_GSF_s)+(d_ET_res_i*d_GSF_i))*(1/24)))*1,".")</f>
        <v>13.777416691188581</v>
      </c>
      <c r="Q26" s="79">
        <f>IFERROR((d_DL/(Rad_Spec!BB26*d_Fam*d_Foffset*acf!G26*d_EF_res*(1/365)*((d_ET_res_o*d_GSF_s)+(d_ET_res_i*d_GSF_i))*(1/24)))*1,".")</f>
        <v>10.604985216243843</v>
      </c>
      <c r="R26" s="79">
        <f>IFERROR((d_DL/(Rad_Spec!AY26*d_Fam*d_Foffset*acf!C26*d_EF_res*(1/365)*((d_ET_res_o*d_GSF_s)+(d_ET_res_i*d_GSF_i))*(1/24)))*1,".")</f>
        <v>33.236425755229583</v>
      </c>
    </row>
    <row r="27" spans="1:18">
      <c r="A27" s="78" t="s">
        <v>32</v>
      </c>
      <c r="B27" s="88" t="s">
        <v>6</v>
      </c>
      <c r="C27" s="79" t="str">
        <f>IFERROR((d_DL/(Rad_Spec!X27*d_IFDres_adj))*1,".")</f>
        <v>.</v>
      </c>
      <c r="D27" s="79" t="str">
        <f>IFERROR((d_DL/(Rad_Spec!AN27*d_IFAres_adj*(1/d_PEFm_pp)*d_SLF*(d_ET_res_o+d_ET_res_i)*(1/24)))*1,".")</f>
        <v>.</v>
      </c>
      <c r="E27" s="79" t="str">
        <f>IFERROR((d_DL/(Rad_Spec!AN27*d_IFAres_adj*(1/d_PEF)*d_SLF*(d_ET_res_o+d_ET_res_i)*(1/24)))*1,".")</f>
        <v>.</v>
      </c>
      <c r="F27" s="79">
        <f>IFERROR((d_DL/(Rad_Spec!AY27*d_Fam*d_Foffset*acf!C27*d_EF_res*(1/365)*((d_ET_res_o*d_GSF_s)+(d_ET_res_i*d_GSF_i))*(1/24)))*1,".")</f>
        <v>42.088611046246605</v>
      </c>
      <c r="G27" s="79">
        <f t="shared" si="4"/>
        <v>42.088611046246605</v>
      </c>
      <c r="H27" s="79">
        <f t="shared" si="5"/>
        <v>42.088611046246605</v>
      </c>
      <c r="I27" s="80">
        <f>IFERROR((d_DL/(Rad_Spec!AV27*d_Fam*d_Foffset*Fsurf!C27*d_EF_res*(1/365)*((d_ET_res_o*d_GSF_s)+(d_ET_res_i*d_GSF_i))*(1/24)))*1,".")</f>
        <v>176.52909223876563</v>
      </c>
      <c r="J27" s="79">
        <f>IFERROR((d_DL/(Rad_Spec!AZ27*d_Fam*d_Foffset*Fsurf!C27*d_EF_res*(1/365)*((d_ET_res_o*d_GSF_s)+(d_ET_res_i*d_GSF_i))*(1/24)))*1,".")</f>
        <v>297.40369234314204</v>
      </c>
      <c r="K27" s="79">
        <f>IFERROR((d_DL/(Rad_Spec!BA27*d_Fam*d_Foffset*Fsurf!C27*d_EF_res*(1/365)*((d_ET_res_o*d_GSF_s)+(d_ET_res_i*d_GSF_i))*(1/24)))*1,".")</f>
        <v>213.33197719313728</v>
      </c>
      <c r="L27" s="79">
        <f>IFERROR((d_DL/(Rad_Spec!BB27*d_Fam*d_Foffset*Fsurf!C27*d_EF_res*(1/365)*((d_ET_res_o*d_GSF_s)+(d_ET_res_i*d_GSF_i))*(1/24)))*1,".")</f>
        <v>181.02833446973861</v>
      </c>
      <c r="M27" s="79">
        <f>IFERROR((d_DL/(Rad_Spec!AY27*d_Fam*d_Foffset*Fsurf!C27*d_EF_res*(1/365)*((d_ET_res_o*d_GSF_s)+(d_ET_res_i*d_GSF_i))*(1/24)))*1,".")</f>
        <v>31.527049472843899</v>
      </c>
      <c r="N27" s="79">
        <f>IFERROR((d_DL/(Rad_Spec!AV27*d_Fam*d_Foffset*acf!D27*d_EF_res*(1/365)*((d_ET_res_o*d_GSF_s)+(d_ET_res_i*d_GSF_i))*(1/24)))*1,".")</f>
        <v>235.66633813875205</v>
      </c>
      <c r="O27" s="79">
        <f>IFERROR((d_DL/(Rad_Spec!AZ27*d_Fam*d_Foffset*acf!E27*d_EF_res*(1/365)*((d_ET_res_o*d_GSF_s)+(d_ET_res_i*d_GSF_i))*(1/24)))*1,".")</f>
        <v>397.03392927809466</v>
      </c>
      <c r="P27" s="79">
        <f>IFERROR((d_DL/(Rad_Spec!BA27*d_Fam*d_Foffset*acf!F27*d_EF_res*(1/365)*((d_ET_res_o*d_GSF_s)+(d_ET_res_i*d_GSF_i))*(1/24)))*1,".")</f>
        <v>284.79818955283821</v>
      </c>
      <c r="Q27" s="79">
        <f>IFERROR((d_DL/(Rad_Spec!BB27*d_Fam*d_Foffset*acf!G27*d_EF_res*(1/365)*((d_ET_res_o*d_GSF_s)+(d_ET_res_i*d_GSF_i))*(1/24)))*1,".")</f>
        <v>241.6728265171011</v>
      </c>
      <c r="R27" s="79">
        <f>IFERROR((d_DL/(Rad_Spec!AY27*d_Fam*d_Foffset*acf!C27*d_EF_res*(1/365)*((d_ET_res_o*d_GSF_s)+(d_ET_res_i*d_GSF_i))*(1/24)))*1,".")</f>
        <v>42.088611046246605</v>
      </c>
    </row>
    <row r="28" spans="1:18">
      <c r="A28" s="78" t="s">
        <v>33</v>
      </c>
      <c r="B28" s="88" t="s">
        <v>6</v>
      </c>
      <c r="C28" s="79" t="str">
        <f>IFERROR((d_DL/(Rad_Spec!X28*d_IFDres_adj))*1,".")</f>
        <v>.</v>
      </c>
      <c r="D28" s="79" t="str">
        <f>IFERROR((d_DL/(Rad_Spec!AN28*d_IFAres_adj*(1/d_PEFm_pp)*d_SLF*(d_ET_res_o+d_ET_res_i)*(1/24)))*1,".")</f>
        <v>.</v>
      </c>
      <c r="E28" s="79" t="str">
        <f>IFERROR((d_DL/(Rad_Spec!AN28*d_IFAres_adj*(1/d_PEF)*d_SLF*(d_ET_res_o+d_ET_res_i)*(1/24)))*1,".")</f>
        <v>.</v>
      </c>
      <c r="F28" s="79">
        <f>IFERROR((d_DL/(Rad_Spec!AY28*d_Fam*d_Foffset*acf!C28*d_EF_res*(1/365)*((d_ET_res_o*d_GSF_s)+(d_ET_res_i*d_GSF_i))*(1/24)))*1,".")</f>
        <v>1.2751598990248971</v>
      </c>
      <c r="G28" s="79">
        <f t="shared" si="4"/>
        <v>1.2751598990248971</v>
      </c>
      <c r="H28" s="79">
        <f t="shared" si="5"/>
        <v>1.2751598990248971</v>
      </c>
      <c r="I28" s="80">
        <f>IFERROR((d_DL/(Rad_Spec!AV28*d_Fam*d_Foffset*Fsurf!C28*d_EF_res*(1/365)*((d_ET_res_o*d_GSF_s)+(d_ET_res_i*d_GSF_i))*(1/24)))*1,".")</f>
        <v>0.20151260335218049</v>
      </c>
      <c r="J28" s="79">
        <f>IFERROR((d_DL/(Rad_Spec!AZ28*d_Fam*d_Foffset*Fsurf!C28*d_EF_res*(1/365)*((d_ET_res_o*d_GSF_s)+(d_ET_res_i*d_GSF_i))*(1/24)))*1,".")</f>
        <v>1.101922092933749</v>
      </c>
      <c r="K28" s="79">
        <f>IFERROR((d_DL/(Rad_Spec!BA28*d_Fam*d_Foffset*Fsurf!C28*d_EF_res*(1/365)*((d_ET_res_o*d_GSF_s)+(d_ET_res_i*d_GSF_i))*(1/24)))*1,".")</f>
        <v>0.38354194394931601</v>
      </c>
      <c r="L28" s="79">
        <f>IFERROR((d_DL/(Rad_Spec!BB28*d_Fam*d_Foffset*Fsurf!C28*d_EF_res*(1/365)*((d_ET_res_o*d_GSF_s)+(d_ET_res_i*d_GSF_i))*(1/24)))*1,".")</f>
        <v>0.23979651763325108</v>
      </c>
      <c r="M28" s="79">
        <f>IFERROR((d_DL/(Rad_Spec!AY28*d_Fam*d_Foffset*Fsurf!C28*d_EF_res*(1/365)*((d_ET_res_o*d_GSF_s)+(d_ET_res_i*d_GSF_i))*(1/24)))*1,".")</f>
        <v>1.0983289397285936</v>
      </c>
      <c r="N28" s="79">
        <f>IFERROR((d_DL/(Rad_Spec!AV28*d_Fam*d_Foffset*acf!D28*d_EF_res*(1/365)*((d_ET_res_o*d_GSF_s)+(d_ET_res_i*d_GSF_i))*(1/24)))*1,".")</f>
        <v>0.23395613249188157</v>
      </c>
      <c r="O28" s="79">
        <f>IFERROR((d_DL/(Rad_Spec!AZ28*d_Fam*d_Foffset*acf!E28*d_EF_res*(1/365)*((d_ET_res_o*d_GSF_s)+(d_ET_res_i*d_GSF_i))*(1/24)))*1,".")</f>
        <v>1.2793315498960824</v>
      </c>
      <c r="P28" s="79">
        <f>IFERROR((d_DL/(Rad_Spec!BA28*d_Fam*d_Foffset*acf!F28*d_EF_res*(1/365)*((d_ET_res_o*d_GSF_s)+(d_ET_res_i*d_GSF_i))*(1/24)))*1,".")</f>
        <v>0.44529219692515587</v>
      </c>
      <c r="Q28" s="79">
        <f>IFERROR((d_DL/(Rad_Spec!BB28*d_Fam*d_Foffset*acf!G28*d_EF_res*(1/365)*((d_ET_res_o*d_GSF_s)+(d_ET_res_i*d_GSF_i))*(1/24)))*1,".")</f>
        <v>0.27840375697220449</v>
      </c>
      <c r="R28" s="79">
        <f>IFERROR((d_DL/(Rad_Spec!AY28*d_Fam*d_Foffset*acf!C28*d_EF_res*(1/365)*((d_ET_res_o*d_GSF_s)+(d_ET_res_i*d_GSF_i))*(1/24)))*1,".")</f>
        <v>1.2751598990248971</v>
      </c>
    </row>
    <row r="29" spans="1:18">
      <c r="A29" s="78" t="s">
        <v>34</v>
      </c>
      <c r="B29" s="88" t="s">
        <v>6</v>
      </c>
      <c r="C29" s="79" t="str">
        <f>IFERROR((d_DL/(Rad_Spec!X29*d_IFDres_adj))*1,".")</f>
        <v>.</v>
      </c>
      <c r="D29" s="79" t="str">
        <f>IFERROR((d_DL/(Rad_Spec!AN29*d_IFAres_adj*(1/d_PEFm_pp)*d_SLF*(d_ET_res_o+d_ET_res_i)*(1/24)))*1,".")</f>
        <v>.</v>
      </c>
      <c r="E29" s="79" t="str">
        <f>IFERROR((d_DL/(Rad_Spec!AN29*d_IFAres_adj*(1/d_PEF)*d_SLF*(d_ET_res_o+d_ET_res_i)*(1/24)))*1,".")</f>
        <v>.</v>
      </c>
      <c r="F29" s="79">
        <f>IFERROR((d_DL/(Rad_Spec!AY29*d_Fam*d_Foffset*acf!C29*d_EF_res*(1/365)*((d_ET_res_o*d_GSF_s)+(d_ET_res_i*d_GSF_i))*(1/24)))*1,".")</f>
        <v>0.97569052879935336</v>
      </c>
      <c r="G29" s="79">
        <f t="shared" si="4"/>
        <v>0.97569052879935336</v>
      </c>
      <c r="H29" s="79">
        <f t="shared" si="5"/>
        <v>0.97569052879935336</v>
      </c>
      <c r="I29" s="80" t="str">
        <f>IFERROR((d_DL/(Rad_Spec!AV29*d_Fam*d_Foffset*Fsurf!C29*d_EF_res*(1/365)*((d_ET_res_o*d_GSF_s)+(d_ET_res_i*d_GSF_i))*(1/24)))*1,".")</f>
        <v>.</v>
      </c>
      <c r="J29" s="79" t="str">
        <f>IFERROR((d_DL/(Rad_Spec!AZ29*d_Fam*d_Foffset*Fsurf!C29*d_EF_res*(1/365)*((d_ET_res_o*d_GSF_s)+(d_ET_res_i*d_GSF_i))*(1/24)))*1,".")</f>
        <v>.</v>
      </c>
      <c r="K29" s="79" t="str">
        <f>IFERROR((d_DL/(Rad_Spec!BA29*d_Fam*d_Foffset*Fsurf!C29*d_EF_res*(1/365)*((d_ET_res_o*d_GSF_s)+(d_ET_res_i*d_GSF_i))*(1/24)))*1,".")</f>
        <v>.</v>
      </c>
      <c r="L29" s="79" t="str">
        <f>IFERROR((d_DL/(Rad_Spec!BB29*d_Fam*d_Foffset*Fsurf!C29*d_EF_res*(1/365)*((d_ET_res_o*d_GSF_s)+(d_ET_res_i*d_GSF_i))*(1/24)))*1,".")</f>
        <v>.</v>
      </c>
      <c r="M29" s="79" t="str">
        <f>IFERROR((d_DL/(Rad_Spec!AY29*d_Fam*d_Foffset*Fsurf!C29*d_EF_res*(1/365)*((d_ET_res_o*d_GSF_s)+(d_ET_res_i*d_GSF_i))*(1/24)))*1,".")</f>
        <v>.</v>
      </c>
      <c r="N29" s="79">
        <f>IFERROR((d_DL/(Rad_Spec!AV29*d_Fam*d_Foffset*acf!D29*d_EF_res*(1/365)*((d_ET_res_o*d_GSF_s)+(d_ET_res_i*d_GSF_i))*(1/24)))*1,".")</f>
        <v>0.17950531769143255</v>
      </c>
      <c r="O29" s="79">
        <f>IFERROR((d_DL/(Rad_Spec!AZ29*d_Fam*d_Foffset*acf!E29*d_EF_res*(1/365)*((d_ET_res_o*d_GSF_s)+(d_ET_res_i*d_GSF_i))*(1/24)))*1,".")</f>
        <v>0.98290106882260009</v>
      </c>
      <c r="P29" s="79">
        <f>IFERROR((d_DL/(Rad_Spec!BA29*d_Fam*d_Foffset*acf!F29*d_EF_res*(1/365)*((d_ET_res_o*d_GSF_s)+(d_ET_res_i*d_GSF_i))*(1/24)))*1,".")</f>
        <v>0.34224156111869725</v>
      </c>
      <c r="Q29" s="79">
        <f>IFERROR((d_DL/(Rad_Spec!BB29*d_Fam*d_Foffset*acf!G29*d_EF_res*(1/365)*((d_ET_res_o*d_GSF_s)+(d_ET_res_i*d_GSF_i))*(1/24)))*1,".")</f>
        <v>0.21294025797477734</v>
      </c>
      <c r="R29" s="79">
        <f>IFERROR((d_DL/(Rad_Spec!AY29*d_Fam*d_Foffset*acf!C29*d_EF_res*(1/365)*((d_ET_res_o*d_GSF_s)+(d_ET_res_i*d_GSF_i))*(1/24)))*1,".")</f>
        <v>0.97569052879935336</v>
      </c>
    </row>
    <row r="30" spans="1:18">
      <c r="A30" s="78" t="s">
        <v>35</v>
      </c>
      <c r="B30" s="88" t="s">
        <v>6</v>
      </c>
      <c r="C30" s="79">
        <f>IFERROR((d_DL/(Rad_Spec!X30*d_IFDres_adj))*1,".")</f>
        <v>0.11421528738235608</v>
      </c>
      <c r="D30" s="79">
        <f>IFERROR((d_DL/(Rad_Spec!AN30*d_IFAres_adj*(1/d_PEFm_pp)*d_SLF*(d_ET_res_o+d_ET_res_i)*(1/24)))*1,".")</f>
        <v>1.5618040003858765E-5</v>
      </c>
      <c r="E30" s="79">
        <f>IFERROR((d_DL/(Rad_Spec!AN30*d_IFAres_adj*(1/d_PEF)*d_SLF*(d_ET_res_o+d_ET_res_i)*(1/24)))*1,".")</f>
        <v>1.1418234920402609E-2</v>
      </c>
      <c r="F30" s="79">
        <f>IFERROR((d_DL/(Rad_Spec!AY30*d_Fam*d_Foffset*acf!C30*d_EF_res*(1/365)*((d_ET_res_o*d_GSF_s)+(d_ET_res_i*d_GSF_i))*(1/24)))*1,".")</f>
        <v>5411.3928488031352</v>
      </c>
      <c r="G30" s="79">
        <f t="shared" si="4"/>
        <v>1.0380465796498815E-2</v>
      </c>
      <c r="H30" s="79">
        <f t="shared" si="5"/>
        <v>1.5615904606959753E-5</v>
      </c>
      <c r="I30" s="80">
        <f>IFERROR((d_DL/(Rad_Spec!AV30*d_Fam*d_Foffset*Fsurf!C30*d_EF_res*(1/365)*((d_ET_res_o*d_GSF_s)+(d_ET_res_i*d_GSF_i))*(1/24)))*1,".")</f>
        <v>2291.1446825701632</v>
      </c>
      <c r="J30" s="79">
        <f>IFERROR((d_DL/(Rad_Spec!AZ30*d_Fam*d_Foffset*Fsurf!C30*d_EF_res*(1/365)*((d_ET_res_o*d_GSF_s)+(d_ET_res_i*d_GSF_i))*(1/24)))*1,".")</f>
        <v>7774.0909229277277</v>
      </c>
      <c r="K30" s="79">
        <f>IFERROR((d_DL/(Rad_Spec!BA30*d_Fam*d_Foffset*Fsurf!C30*d_EF_res*(1/365)*((d_ET_res_o*d_GSF_s)+(d_ET_res_i*d_GSF_i))*(1/24)))*1,".")</f>
        <v>3211.5190422351011</v>
      </c>
      <c r="L30" s="79">
        <f>IFERROR((d_DL/(Rad_Spec!BB30*d_Fam*d_Foffset*Fsurf!C30*d_EF_res*(1/365)*((d_ET_res_o*d_GSF_s)+(d_ET_res_i*d_GSF_i))*(1/24)))*1,".")</f>
        <v>2368.1579492111773</v>
      </c>
      <c r="M30" s="79">
        <f>IFERROR((d_DL/(Rad_Spec!AY30*d_Fam*d_Foffset*Fsurf!C30*d_EF_res*(1/365)*((d_ET_res_o*d_GSF_s)+(d_ET_res_i*d_GSF_i))*(1/24)))*1,".")</f>
        <v>3784.1908033588356</v>
      </c>
      <c r="N30" s="79">
        <f>IFERROR((d_DL/(Rad_Spec!AV30*d_Fam*d_Foffset*acf!D30*d_EF_res*(1/365)*((d_ET_res_o*d_GSF_s)+(d_ET_res_i*d_GSF_i))*(1/24)))*1,".")</f>
        <v>3276.3368960753337</v>
      </c>
      <c r="O30" s="79">
        <f>IFERROR((d_DL/(Rad_Spec!AZ30*d_Fam*d_Foffset*acf!E30*d_EF_res*(1/365)*((d_ET_res_o*d_GSF_s)+(d_ET_res_i*d_GSF_i))*(1/24)))*1,".")</f>
        <v>11116.950019786651</v>
      </c>
      <c r="P30" s="79">
        <f>IFERROR((d_DL/(Rad_Spec!BA30*d_Fam*d_Foffset*acf!F30*d_EF_res*(1/365)*((d_ET_res_o*d_GSF_s)+(d_ET_res_i*d_GSF_i))*(1/24)))*1,".")</f>
        <v>4592.4722303961944</v>
      </c>
      <c r="Q30" s="79">
        <f>IFERROR((d_DL/(Rad_Spec!BB30*d_Fam*d_Foffset*acf!G30*d_EF_res*(1/365)*((d_ET_res_o*d_GSF_s)+(d_ET_res_i*d_GSF_i))*(1/24)))*1,".")</f>
        <v>3386.4658673719832</v>
      </c>
      <c r="R30" s="79">
        <f>IFERROR((d_DL/(Rad_Spec!AY30*d_Fam*d_Foffset*acf!C30*d_EF_res*(1/365)*((d_ET_res_o*d_GSF_s)+(d_ET_res_i*d_GSF_i))*(1/24)))*1,".")</f>
        <v>5411.3928488031352</v>
      </c>
    </row>
    <row r="31" spans="1:18">
      <c r="A31" s="82" t="s">
        <v>7</v>
      </c>
      <c r="B31" s="82" t="s">
        <v>6</v>
      </c>
      <c r="C31" s="67">
        <f>IFERROR(1/SUM(1/C32,1/C33,1/C34,1/C35,1/C36,1/C37,1/C38,1/C41,1/C44),0)</f>
        <v>5.1925345079993747E-3</v>
      </c>
      <c r="D31" s="67">
        <f t="shared" ref="D31:E31" si="6">IFERROR(1/SUM(1/D32,1/D33,1/D34,1/D35,1/D36,1/D37,1/D38,1/D41,1/D44),0)</f>
        <v>7.5125259297523582E-7</v>
      </c>
      <c r="E31" s="67">
        <f t="shared" si="6"/>
        <v>5.4923528106173847E-4</v>
      </c>
      <c r="F31" s="67">
        <f>IFERROR(1/SUM(1/F32,1/F33,1/F34,1/F35,1/F36,1/F37,1/F38,1/F39,1/F40,1/F41,1/F42,1/F43,1/F44),0)</f>
        <v>4.3910924531350606</v>
      </c>
      <c r="G31" s="68">
        <f t="shared" ref="G31:H31" si="7">IFERROR(1/SUM(1/G32,1/G33,1/G34,1/G35,1/G36,1/G37,1/G38,1/G39,1/G40,1/G41,1/G42,1/G43,1/G44),0)</f>
        <v>4.9664140089767717E-4</v>
      </c>
      <c r="H31" s="68">
        <f t="shared" si="7"/>
        <v>7.5114378945922783E-7</v>
      </c>
      <c r="I31" s="67">
        <f>IFERROR(1/SUM(1/I32,1/I33,1/I34,1/I35,1/I36,1/I37,1/I38,1/I39,1/I40,1/I41,1/I43,1/I44),0)</f>
        <v>0.92125182678185391</v>
      </c>
      <c r="J31" s="67">
        <f>IFERROR(1/SUM(1/J32,1/J33,1/J34,1/J35,1/J36,1/J37,1/J38,1/J39,1/J40,1/J41,1/J43,1/J44),0)</f>
        <v>3.8042352380227409</v>
      </c>
      <c r="K31" s="67">
        <f t="shared" ref="K31:N31" si="8">IFERROR(1/SUM(1/K32,1/K33,1/K34,1/K35,1/K36,1/K37,1/K38,1/K39,1/K40,1/K41,1/K43,1/K44),0)</f>
        <v>1.4142231073968821</v>
      </c>
      <c r="L31" s="67">
        <f t="shared" si="8"/>
        <v>0.98264757313888107</v>
      </c>
      <c r="M31" s="67">
        <f t="shared" si="8"/>
        <v>3.4135650026269242</v>
      </c>
      <c r="N31" s="67">
        <f t="shared" si="8"/>
        <v>1.1743834133524551</v>
      </c>
      <c r="O31" s="67">
        <f t="shared" ref="O31" si="9">IFERROR(1/SUM(1/O32,1/O33,1/O34,1/O35,1/O36,1/O37,1/O38,1/O39,1/O40,1/O41,1/O42,1/O43,1/O44),0)</f>
        <v>4.8944410031177847</v>
      </c>
      <c r="P31" s="67">
        <f t="shared" ref="P31" si="10">IFERROR(1/SUM(1/P32,1/P33,1/P34,1/P35,1/P36,1/P37,1/P38,1/P39,1/P40,1/P41,1/P42,1/P43,1/P44),0)</f>
        <v>1.8136834489163038</v>
      </c>
      <c r="Q31" s="67">
        <f t="shared" ref="Q31" si="11">IFERROR(1/SUM(1/Q32,1/Q33,1/Q34,1/Q35,1/Q36,1/Q37,1/Q38,1/Q39,1/Q40,1/Q41,1/Q42,1/Q43,1/Q44),0)</f>
        <v>1.2553668439140968</v>
      </c>
      <c r="R31" s="67">
        <f t="shared" ref="R31" si="12">IFERROR(1/SUM(1/R32,1/R33,1/R34,1/R35,1/R36,1/R37,1/R38,1/R39,1/R40,1/R41,1/R42,1/R43,1/R44),0)</f>
        <v>4.3910924531350606</v>
      </c>
    </row>
    <row r="32" spans="1:18">
      <c r="A32" s="65" t="s">
        <v>390</v>
      </c>
      <c r="B32" s="89">
        <v>1</v>
      </c>
      <c r="C32" s="69">
        <f>IFERROR(C3/$B32,0)</f>
        <v>2.8889749161419474E-2</v>
      </c>
      <c r="D32" s="69">
        <f>IFERROR(D3/$B32,0)</f>
        <v>1.6398145977547932E-6</v>
      </c>
      <c r="E32" s="69">
        <f>IFERROR(E3/$B32,0)</f>
        <v>1.1988564697262675E-3</v>
      </c>
      <c r="F32" s="69">
        <f>IFERROR(F3/$B32,0)</f>
        <v>118.15701816652719</v>
      </c>
      <c r="G32" s="83">
        <f t="shared" ref="G32:G44" si="13">(IF(AND(C32&lt;&gt;0,E32&lt;&gt;0,F32&lt;&gt;0),1/((1/C32)+(1/E32)+(1/F32)),IF(AND(C32&lt;&gt;0,E32&lt;&gt;0,F32=0), 1/((1/C32)+(1/E32)),IF(AND(C32&lt;&gt;0,E32=0,F32&lt;&gt;0),1/((1/C32)+(1/F32)),IF(AND(C32=0,E32&lt;&gt;0,F32&lt;&gt;0),1/((1/E32)+(1/F32)),IF(AND(C32&lt;&gt;0,E32=0,F32=0),1/(1/C32),IF(AND(C32=0,E32&lt;&gt;0,F32=0),1/(1/E32),IF(AND(C32=0,E32=0,F32&lt;&gt;0),1/(1/F32),IF(AND(C32=0,E32=0,F32=0),0)))))))))</f>
        <v>1.1510777769813156E-3</v>
      </c>
      <c r="H32" s="83">
        <f t="shared" ref="H32:H44" si="14">(IF(AND(C32&lt;&gt;0,D32&lt;&gt;0,F32&lt;&gt;0),1/((1/C32)+(1/D32)+(1/F32)),IF(AND(C32&lt;&gt;0,D32&lt;&gt;0,F32=0), 1/((1/C32)+(1/D32)),IF(AND(C32&lt;&gt;0,D32=0,F32&lt;&gt;0),1/((1/C32)+(1/F32)),IF(AND(C32=0,D32&lt;&gt;0,F32&lt;&gt;0),1/((1/D32)+(1/F32)),IF(AND(C32&lt;&gt;0,D32=0,F32=0),1/(1/C32),IF(AND(C32=0,D32&lt;&gt;0,F32=0),1/(1/D32),IF(AND(C32=0,D32=0,F32&lt;&gt;0),1/(1/F32),IF(AND(C32=0,D32=0,F32=0),0)))))))))</f>
        <v>1.6397215025648526E-6</v>
      </c>
      <c r="I32" s="69">
        <f t="shared" ref="I32:R32" si="15">IFERROR(I3/$B32,0)</f>
        <v>58.149965652709497</v>
      </c>
      <c r="J32" s="69">
        <f t="shared" si="15"/>
        <v>118.08003229478767</v>
      </c>
      <c r="K32" s="69">
        <f t="shared" si="15"/>
        <v>62.550503593995614</v>
      </c>
      <c r="L32" s="69">
        <f t="shared" si="15"/>
        <v>58.149965652709497</v>
      </c>
      <c r="M32" s="69">
        <f t="shared" si="15"/>
        <v>84.821980019043195</v>
      </c>
      <c r="N32" s="69">
        <f t="shared" si="15"/>
        <v>81.002902154224316</v>
      </c>
      <c r="O32" s="69">
        <f t="shared" si="15"/>
        <v>164.48548498663916</v>
      </c>
      <c r="P32" s="69">
        <f t="shared" si="15"/>
        <v>87.132851506435898</v>
      </c>
      <c r="Q32" s="69">
        <f t="shared" si="15"/>
        <v>81.002902154224316</v>
      </c>
      <c r="R32" s="69">
        <f t="shared" si="15"/>
        <v>118.15701816652719</v>
      </c>
    </row>
    <row r="33" spans="1:18">
      <c r="A33" s="65" t="s">
        <v>391</v>
      </c>
      <c r="B33" s="89">
        <v>1</v>
      </c>
      <c r="C33" s="84">
        <f t="shared" ref="C33:F34" si="16">IFERROR(C13/$B33,0)</f>
        <v>5.5006082403342683E-2</v>
      </c>
      <c r="D33" s="84">
        <f t="shared" si="16"/>
        <v>1.2767127939662323E-5</v>
      </c>
      <c r="E33" s="84">
        <f t="shared" si="16"/>
        <v>9.3339539428687977E-3</v>
      </c>
      <c r="F33" s="84">
        <f t="shared" si="16"/>
        <v>105.5665162307497</v>
      </c>
      <c r="G33" s="83">
        <f t="shared" si="13"/>
        <v>7.979253069708557E-3</v>
      </c>
      <c r="H33" s="83">
        <f t="shared" si="14"/>
        <v>1.2764163783388263E-5</v>
      </c>
      <c r="I33" s="84">
        <f t="shared" ref="I33:R33" si="17">IFERROR(I13/$B33,0)</f>
        <v>32.118261919516229</v>
      </c>
      <c r="J33" s="84">
        <f t="shared" si="17"/>
        <v>96.087133575886057</v>
      </c>
      <c r="K33" s="84">
        <f t="shared" si="17"/>
        <v>40.316279822050085</v>
      </c>
      <c r="L33" s="84">
        <f t="shared" si="17"/>
        <v>32.20797773493387</v>
      </c>
      <c r="M33" s="84">
        <f t="shared" si="17"/>
        <v>75.512529492667881</v>
      </c>
      <c r="N33" s="84">
        <f t="shared" si="17"/>
        <v>44.901330163483678</v>
      </c>
      <c r="O33" s="84">
        <f t="shared" si="17"/>
        <v>134.32981273908868</v>
      </c>
      <c r="P33" s="84">
        <f t="shared" si="17"/>
        <v>56.362159191226027</v>
      </c>
      <c r="Q33" s="84">
        <f t="shared" si="17"/>
        <v>45.026752873437538</v>
      </c>
      <c r="R33" s="84">
        <f t="shared" si="17"/>
        <v>105.5665162307497</v>
      </c>
    </row>
    <row r="34" spans="1:18">
      <c r="A34" s="65" t="s">
        <v>392</v>
      </c>
      <c r="B34" s="89">
        <v>1</v>
      </c>
      <c r="C34" s="84">
        <f t="shared" si="16"/>
        <v>5.2089093184983595</v>
      </c>
      <c r="D34" s="84">
        <f t="shared" si="16"/>
        <v>3.5277590359593256E-2</v>
      </c>
      <c r="E34" s="84">
        <f t="shared" si="16"/>
        <v>25.791188526347995</v>
      </c>
      <c r="F34" s="84">
        <f t="shared" si="16"/>
        <v>12.751598990248976</v>
      </c>
      <c r="G34" s="83">
        <f t="shared" si="13"/>
        <v>3.234432590495425</v>
      </c>
      <c r="H34" s="83">
        <f t="shared" si="14"/>
        <v>3.4944254624657459E-2</v>
      </c>
      <c r="I34" s="84">
        <f t="shared" ref="I34:R34" si="18">IFERROR(I14/$B34,0)</f>
        <v>2.2892574670790813</v>
      </c>
      <c r="J34" s="84">
        <f t="shared" si="18"/>
        <v>9.8239788941582624</v>
      </c>
      <c r="K34" s="84">
        <f t="shared" si="18"/>
        <v>3.5344060044138792</v>
      </c>
      <c r="L34" s="84">
        <f t="shared" si="18"/>
        <v>2.4179172859653089</v>
      </c>
      <c r="M34" s="84">
        <f t="shared" si="18"/>
        <v>9.8696586611834167</v>
      </c>
      <c r="N34" s="84">
        <f t="shared" si="18"/>
        <v>2.9577206474661732</v>
      </c>
      <c r="O34" s="84">
        <f t="shared" si="18"/>
        <v>12.692580731252471</v>
      </c>
      <c r="P34" s="84">
        <f t="shared" si="18"/>
        <v>4.5664525577027311</v>
      </c>
      <c r="Q34" s="84">
        <f t="shared" si="18"/>
        <v>3.1239491334671787</v>
      </c>
      <c r="R34" s="84">
        <f t="shared" si="18"/>
        <v>12.751598990248976</v>
      </c>
    </row>
    <row r="35" spans="1:18">
      <c r="A35" s="65" t="s">
        <v>393</v>
      </c>
      <c r="B35" s="89">
        <v>1</v>
      </c>
      <c r="C35" s="84">
        <f>IFERROR(C30/$B35,0)</f>
        <v>0.11421528738235608</v>
      </c>
      <c r="D35" s="84">
        <f>IFERROR(D30/$B35,0)</f>
        <v>1.5618040003858765E-5</v>
      </c>
      <c r="E35" s="84">
        <f>IFERROR(E30/$B35,0)</f>
        <v>1.1418234920402609E-2</v>
      </c>
      <c r="F35" s="84">
        <f>IFERROR(F30/$B35,0)</f>
        <v>5411.3928488031352</v>
      </c>
      <c r="G35" s="83">
        <f t="shared" si="13"/>
        <v>1.0380465796498815E-2</v>
      </c>
      <c r="H35" s="83">
        <f t="shared" si="14"/>
        <v>1.5615904606959753E-5</v>
      </c>
      <c r="I35" s="84">
        <f t="shared" ref="I35:R35" si="19">IFERROR(I30/$B35,0)</f>
        <v>2291.1446825701632</v>
      </c>
      <c r="J35" s="84">
        <f t="shared" si="19"/>
        <v>7774.0909229277277</v>
      </c>
      <c r="K35" s="84">
        <f t="shared" si="19"/>
        <v>3211.5190422351011</v>
      </c>
      <c r="L35" s="84">
        <f t="shared" si="19"/>
        <v>2368.1579492111773</v>
      </c>
      <c r="M35" s="84">
        <f t="shared" si="19"/>
        <v>3784.1908033588356</v>
      </c>
      <c r="N35" s="84">
        <f t="shared" si="19"/>
        <v>3276.3368960753337</v>
      </c>
      <c r="O35" s="84">
        <f t="shared" si="19"/>
        <v>11116.950019786651</v>
      </c>
      <c r="P35" s="84">
        <f t="shared" si="19"/>
        <v>4592.4722303961944</v>
      </c>
      <c r="Q35" s="84">
        <f t="shared" si="19"/>
        <v>3386.4658673719832</v>
      </c>
      <c r="R35" s="84">
        <f t="shared" si="19"/>
        <v>5411.3928488031352</v>
      </c>
    </row>
    <row r="36" spans="1:18">
      <c r="A36" s="65" t="s">
        <v>394</v>
      </c>
      <c r="B36" s="89">
        <v>1</v>
      </c>
      <c r="C36" s="84">
        <f>IFERROR(C26/$B36,0)</f>
        <v>1.1290246798715656E-2</v>
      </c>
      <c r="D36" s="84">
        <f>IFERROR(D26/$B36,0)</f>
        <v>2.1306730071489442E-6</v>
      </c>
      <c r="E36" s="84">
        <f>IFERROR(E26/$B36,0)</f>
        <v>1.5577194659622102E-3</v>
      </c>
      <c r="F36" s="84">
        <f>IFERROR(F26/$B36,0)</f>
        <v>33.236425755229583</v>
      </c>
      <c r="G36" s="83">
        <f t="shared" si="13"/>
        <v>1.368801299061483E-3</v>
      </c>
      <c r="H36" s="83">
        <f t="shared" si="14"/>
        <v>2.1302708500903544E-6</v>
      </c>
      <c r="I36" s="84">
        <f t="shared" ref="I36:R36" si="20">IFERROR(I26/$B36,0)</f>
        <v>7.487309109809301</v>
      </c>
      <c r="J36" s="84">
        <f t="shared" si="20"/>
        <v>25.120819235525762</v>
      </c>
      <c r="K36" s="84">
        <f t="shared" si="20"/>
        <v>9.8550906231678006</v>
      </c>
      <c r="L36" s="84">
        <f t="shared" si="20"/>
        <v>7.5858263349383712</v>
      </c>
      <c r="M36" s="84">
        <f t="shared" si="20"/>
        <v>23.774267349949636</v>
      </c>
      <c r="N36" s="84">
        <f t="shared" si="20"/>
        <v>10.467258135513404</v>
      </c>
      <c r="O36" s="84">
        <f t="shared" si="20"/>
        <v>35.118905291265015</v>
      </c>
      <c r="P36" s="84">
        <f t="shared" si="20"/>
        <v>13.777416691188581</v>
      </c>
      <c r="Q36" s="84">
        <f t="shared" si="20"/>
        <v>10.604985216243843</v>
      </c>
      <c r="R36" s="84">
        <f t="shared" si="20"/>
        <v>33.236425755229583</v>
      </c>
    </row>
    <row r="37" spans="1:18">
      <c r="A37" s="65" t="s">
        <v>395</v>
      </c>
      <c r="B37" s="89">
        <v>1</v>
      </c>
      <c r="C37" s="84">
        <f>IFERROR(C22/$B37,0)</f>
        <v>2.8889749161419474E-2</v>
      </c>
      <c r="D37" s="84">
        <f>IFERROR(D22/$B37,0)</f>
        <v>1.9127920575475057E-5</v>
      </c>
      <c r="E37" s="84">
        <f>IFERROR(E22/$B37,0)</f>
        <v>1.3984282958400341E-2</v>
      </c>
      <c r="F37" s="84">
        <f>IFERROR(F22/$B37,0)</f>
        <v>234.16572691184476</v>
      </c>
      <c r="G37" s="83">
        <f t="shared" si="13"/>
        <v>9.4226306736379696E-3</v>
      </c>
      <c r="H37" s="83">
        <f t="shared" si="14"/>
        <v>1.911526278686391E-5</v>
      </c>
      <c r="I37" s="84">
        <f t="shared" ref="I37:R37" si="21">IFERROR(I22/$B37,0)</f>
        <v>245.05919929050526</v>
      </c>
      <c r="J37" s="84">
        <f t="shared" si="21"/>
        <v>337.84172850165038</v>
      </c>
      <c r="K37" s="84">
        <f t="shared" si="21"/>
        <v>246.09102749804424</v>
      </c>
      <c r="L37" s="84">
        <f t="shared" si="21"/>
        <v>245.05919929050526</v>
      </c>
      <c r="M37" s="84">
        <f t="shared" si="21"/>
        <v>169.80835889183808</v>
      </c>
      <c r="N37" s="84">
        <f t="shared" si="21"/>
        <v>337.93663582160667</v>
      </c>
      <c r="O37" s="84">
        <f t="shared" si="21"/>
        <v>465.88374360377583</v>
      </c>
      <c r="P37" s="84">
        <f t="shared" si="21"/>
        <v>339.35952691980299</v>
      </c>
      <c r="Q37" s="84">
        <f t="shared" si="21"/>
        <v>337.93663582160667</v>
      </c>
      <c r="R37" s="84">
        <f t="shared" si="21"/>
        <v>234.16572691184476</v>
      </c>
    </row>
    <row r="38" spans="1:18">
      <c r="A38" s="65" t="s">
        <v>396</v>
      </c>
      <c r="B38" s="89">
        <v>1</v>
      </c>
      <c r="C38" s="84">
        <f>IFERROR(C2/$B38,0)</f>
        <v>0.13146769216860105</v>
      </c>
      <c r="D38" s="84">
        <f>IFERROR(D2/$B38,0)</f>
        <v>1.752350893679142E-5</v>
      </c>
      <c r="E38" s="84">
        <f>IFERROR(E2/$B38,0)</f>
        <v>1.2811309333349327E-2</v>
      </c>
      <c r="F38" s="84">
        <f>IFERROR(F2/$B38,0)</f>
        <v>195.13810575987065</v>
      </c>
      <c r="G38" s="83">
        <f t="shared" si="13"/>
        <v>1.1673025888205837E-2</v>
      </c>
      <c r="H38" s="83">
        <f t="shared" si="14"/>
        <v>1.7521171942350119E-5</v>
      </c>
      <c r="I38" s="84">
        <f t="shared" ref="I38:R38" si="22">IFERROR(I2/$B38,0)</f>
        <v>40.425576941495841</v>
      </c>
      <c r="J38" s="84">
        <f t="shared" si="22"/>
        <v>146.48448494805791</v>
      </c>
      <c r="K38" s="84">
        <f t="shared" si="22"/>
        <v>56.08057977668296</v>
      </c>
      <c r="L38" s="84">
        <f t="shared" si="22"/>
        <v>41.601593725248449</v>
      </c>
      <c r="M38" s="84">
        <f t="shared" si="22"/>
        <v>138.4940424129671</v>
      </c>
      <c r="N38" s="84">
        <f t="shared" si="22"/>
        <v>56.959637910567643</v>
      </c>
      <c r="O38" s="84">
        <f t="shared" si="22"/>
        <v>206.39663929181359</v>
      </c>
      <c r="P38" s="84">
        <f t="shared" si="22"/>
        <v>79.01753690534629</v>
      </c>
      <c r="Q38" s="84">
        <f t="shared" si="22"/>
        <v>58.616645558875071</v>
      </c>
      <c r="R38" s="84">
        <f t="shared" si="22"/>
        <v>195.13810575987065</v>
      </c>
    </row>
    <row r="39" spans="1:18">
      <c r="A39" s="65" t="s">
        <v>397</v>
      </c>
      <c r="B39" s="89">
        <v>1</v>
      </c>
      <c r="C39" s="84">
        <f>IFERROR(C11/$B39,0)</f>
        <v>0</v>
      </c>
      <c r="D39" s="84">
        <f>IFERROR(D11/$B39,0)</f>
        <v>0</v>
      </c>
      <c r="E39" s="84">
        <f>IFERROR(E11/$B39,0)</f>
        <v>0</v>
      </c>
      <c r="F39" s="84">
        <f>IFERROR(F11/$B39,0)</f>
        <v>95.755501711163305</v>
      </c>
      <c r="G39" s="83">
        <f t="shared" si="13"/>
        <v>95.755501711163305</v>
      </c>
      <c r="H39" s="83">
        <f t="shared" si="14"/>
        <v>95.755501711163305</v>
      </c>
      <c r="I39" s="84">
        <f t="shared" ref="I39:R39" si="23">IFERROR(I11/$B39,0)</f>
        <v>17.815684102280006</v>
      </c>
      <c r="J39" s="84">
        <f t="shared" si="23"/>
        <v>74.284109736407288</v>
      </c>
      <c r="K39" s="84">
        <f t="shared" si="23"/>
        <v>26.574440930806787</v>
      </c>
      <c r="L39" s="84">
        <f t="shared" si="23"/>
        <v>18.516884496976154</v>
      </c>
      <c r="M39" s="84">
        <f t="shared" si="23"/>
        <v>75.457448156945077</v>
      </c>
      <c r="N39" s="84">
        <f t="shared" si="23"/>
        <v>22.608103125793324</v>
      </c>
      <c r="O39" s="84">
        <f t="shared" si="23"/>
        <v>94.266535255500813</v>
      </c>
      <c r="P39" s="84">
        <f t="shared" si="23"/>
        <v>33.722965541193808</v>
      </c>
      <c r="Q39" s="84">
        <f t="shared" si="23"/>
        <v>23.497926426662744</v>
      </c>
      <c r="R39" s="84">
        <f t="shared" si="23"/>
        <v>95.755501711163305</v>
      </c>
    </row>
    <row r="40" spans="1:18">
      <c r="A40" s="65" t="s">
        <v>398</v>
      </c>
      <c r="B40" s="89">
        <v>1</v>
      </c>
      <c r="C40" s="84">
        <f>IFERROR(C4/$B40,0)</f>
        <v>0</v>
      </c>
      <c r="D40" s="84">
        <f>IFERROR(D4/$B40,0)</f>
        <v>0</v>
      </c>
      <c r="E40" s="84">
        <f>IFERROR(E4/$B40,0)</f>
        <v>0</v>
      </c>
      <c r="F40" s="84">
        <f>IFERROR(F4/$B40,0)</f>
        <v>11347.237867974856</v>
      </c>
      <c r="G40" s="83">
        <f t="shared" si="13"/>
        <v>11347.237867974856</v>
      </c>
      <c r="H40" s="83">
        <f t="shared" si="14"/>
        <v>11347.237867974856</v>
      </c>
      <c r="I40" s="84">
        <f t="shared" ref="I40:R40" si="24">IFERROR(I4/$B40,0)</f>
        <v>2094.4852691835763</v>
      </c>
      <c r="J40" s="84">
        <f t="shared" si="24"/>
        <v>9236.0982356359109</v>
      </c>
      <c r="K40" s="84">
        <f t="shared" si="24"/>
        <v>3308.4530993322669</v>
      </c>
      <c r="L40" s="84">
        <f t="shared" si="24"/>
        <v>2239.0541177299178</v>
      </c>
      <c r="M40" s="84">
        <f t="shared" si="24"/>
        <v>9362.4074818274385</v>
      </c>
      <c r="N40" s="84">
        <f t="shared" si="24"/>
        <v>2538.5161462504948</v>
      </c>
      <c r="O40" s="84">
        <f t="shared" si="24"/>
        <v>11194.151061590725</v>
      </c>
      <c r="P40" s="84">
        <f t="shared" si="24"/>
        <v>4009.845156390707</v>
      </c>
      <c r="Q40" s="84">
        <f t="shared" si="24"/>
        <v>2713.7335906886601</v>
      </c>
      <c r="R40" s="84">
        <f t="shared" si="24"/>
        <v>11347.237867974856</v>
      </c>
    </row>
    <row r="41" spans="1:18">
      <c r="A41" s="65" t="s">
        <v>399</v>
      </c>
      <c r="B41" s="90">
        <v>0.99987999999999999</v>
      </c>
      <c r="C41" s="84">
        <f>IFERROR(C8/$B41,0)</f>
        <v>25.658901084614619</v>
      </c>
      <c r="D41" s="84">
        <f>IFERROR(D8/$B41,0)</f>
        <v>4.5319751620826968E-3</v>
      </c>
      <c r="E41" s="84">
        <f>IFERROR(E8/$B41,0)</f>
        <v>3.3132939242891366</v>
      </c>
      <c r="F41" s="84">
        <f>IFERROR(F8/$B41,0)</f>
        <v>15.708122755403165</v>
      </c>
      <c r="G41" s="83">
        <f t="shared" si="13"/>
        <v>2.4725019688943619</v>
      </c>
      <c r="H41" s="83">
        <f t="shared" si="14"/>
        <v>4.5298681597290176E-3</v>
      </c>
      <c r="I41" s="84">
        <f t="shared" ref="I41:R41" si="25">IFERROR(I8/$B41,0)</f>
        <v>3.6115792927488117</v>
      </c>
      <c r="J41" s="84">
        <f t="shared" si="25"/>
        <v>16.717750688447332</v>
      </c>
      <c r="K41" s="84">
        <f t="shared" si="25"/>
        <v>5.9867620708628957</v>
      </c>
      <c r="L41" s="84">
        <f t="shared" si="25"/>
        <v>3.9438017202717011</v>
      </c>
      <c r="M41" s="84">
        <f t="shared" si="25"/>
        <v>12.949812659029812</v>
      </c>
      <c r="N41" s="84">
        <f t="shared" si="25"/>
        <v>4.3808456821043089</v>
      </c>
      <c r="O41" s="84">
        <f t="shared" si="25"/>
        <v>20.278631585086611</v>
      </c>
      <c r="P41" s="84">
        <f t="shared" si="25"/>
        <v>7.2619423919566941</v>
      </c>
      <c r="Q41" s="84">
        <f t="shared" si="25"/>
        <v>4.7838314866895733</v>
      </c>
      <c r="R41" s="84">
        <f t="shared" si="25"/>
        <v>15.708122755403165</v>
      </c>
    </row>
    <row r="42" spans="1:18">
      <c r="A42" s="65" t="s">
        <v>400</v>
      </c>
      <c r="B42" s="89">
        <v>0.97898250799999997</v>
      </c>
      <c r="C42" s="84">
        <f>IFERROR(C19/$B42,0)</f>
        <v>0</v>
      </c>
      <c r="D42" s="84">
        <f>IFERROR(D19/$B42,0)</f>
        <v>0</v>
      </c>
      <c r="E42" s="84">
        <f>IFERROR(E19/$B42,0)</f>
        <v>0</v>
      </c>
      <c r="F42" s="84">
        <f>IFERROR(F19/$B42,0)</f>
        <v>73700.913000080356</v>
      </c>
      <c r="G42" s="83">
        <f t="shared" si="13"/>
        <v>73700.913000080356</v>
      </c>
      <c r="H42" s="83">
        <f t="shared" si="14"/>
        <v>73700.913000080356</v>
      </c>
      <c r="I42" s="84">
        <f t="shared" ref="I42:R42" si="26">IFERROR(I19/$B42,0)</f>
        <v>0</v>
      </c>
      <c r="J42" s="84">
        <f t="shared" si="26"/>
        <v>0</v>
      </c>
      <c r="K42" s="84">
        <f t="shared" si="26"/>
        <v>0</v>
      </c>
      <c r="L42" s="84">
        <f t="shared" si="26"/>
        <v>0</v>
      </c>
      <c r="M42" s="84">
        <f t="shared" si="26"/>
        <v>0</v>
      </c>
      <c r="N42" s="84">
        <f t="shared" si="26"/>
        <v>14194.520751062604</v>
      </c>
      <c r="O42" s="84">
        <f t="shared" si="26"/>
        <v>72856.832173595671</v>
      </c>
      <c r="P42" s="84">
        <f t="shared" si="26"/>
        <v>25449.21803899941</v>
      </c>
      <c r="Q42" s="84">
        <f t="shared" si="26"/>
        <v>16142.78830513002</v>
      </c>
      <c r="R42" s="84">
        <f t="shared" si="26"/>
        <v>73700.913000080356</v>
      </c>
    </row>
    <row r="43" spans="1:18">
      <c r="A43" s="65" t="s">
        <v>401</v>
      </c>
      <c r="B43" s="89">
        <v>2.0897492E-2</v>
      </c>
      <c r="C43" s="84">
        <f>IFERROR(C28/$B43,0)</f>
        <v>0</v>
      </c>
      <c r="D43" s="84">
        <f>IFERROR(D28/$B43,0)</f>
        <v>0</v>
      </c>
      <c r="E43" s="84">
        <f>IFERROR(E28/$B43,0)</f>
        <v>0</v>
      </c>
      <c r="F43" s="84">
        <f>IFERROR(F28/$B43,0)</f>
        <v>61.019757730970639</v>
      </c>
      <c r="G43" s="83">
        <f t="shared" si="13"/>
        <v>61.019757730970632</v>
      </c>
      <c r="H43" s="83">
        <f t="shared" si="14"/>
        <v>61.019757730970632</v>
      </c>
      <c r="I43" s="84">
        <f t="shared" ref="I43:R43" si="27">IFERROR(I28/$B43,0)</f>
        <v>9.6429085055843302</v>
      </c>
      <c r="J43" s="84">
        <f t="shared" si="27"/>
        <v>52.729872701171459</v>
      </c>
      <c r="K43" s="84">
        <f t="shared" si="27"/>
        <v>18.35349160317018</v>
      </c>
      <c r="L43" s="84">
        <f t="shared" si="27"/>
        <v>11.474894577457002</v>
      </c>
      <c r="M43" s="84">
        <f t="shared" si="27"/>
        <v>52.557930862162479</v>
      </c>
      <c r="N43" s="84">
        <f t="shared" si="27"/>
        <v>11.195416774983409</v>
      </c>
      <c r="O43" s="84">
        <f t="shared" si="27"/>
        <v>61.219382206060061</v>
      </c>
      <c r="P43" s="84">
        <f t="shared" si="27"/>
        <v>21.308403751280579</v>
      </c>
      <c r="Q43" s="84">
        <f t="shared" si="27"/>
        <v>13.322352604427579</v>
      </c>
      <c r="R43" s="84">
        <f t="shared" si="27"/>
        <v>61.019757730970639</v>
      </c>
    </row>
    <row r="44" spans="1:18">
      <c r="A44" s="65" t="s">
        <v>402</v>
      </c>
      <c r="B44" s="89">
        <v>0.99987999999999999</v>
      </c>
      <c r="C44" s="84">
        <f>IFERROR(C15/$B44,0)</f>
        <v>92.05603066501628</v>
      </c>
      <c r="D44" s="84">
        <f>IFERROR(D15/$B44,0)</f>
        <v>2.3049443875922027</v>
      </c>
      <c r="E44" s="84">
        <f>IFERROR(E15/$B44,0)</f>
        <v>1685.1279987430419</v>
      </c>
      <c r="F44" s="84">
        <f>IFERROR(F15/$B44,0)</f>
        <v>897.29436847304737</v>
      </c>
      <c r="G44" s="83">
        <f t="shared" si="13"/>
        <v>79.549194291036514</v>
      </c>
      <c r="H44" s="83">
        <f t="shared" si="14"/>
        <v>2.2430207182420334</v>
      </c>
      <c r="I44" s="84">
        <f t="shared" ref="I44:R44" si="28">IFERROR(I15/$B44,0)</f>
        <v>3190.0918767425846</v>
      </c>
      <c r="J44" s="84">
        <f t="shared" si="28"/>
        <v>8136.7533311851985</v>
      </c>
      <c r="K44" s="84">
        <f t="shared" si="28"/>
        <v>4030.1160699914158</v>
      </c>
      <c r="L44" s="84">
        <f t="shared" si="28"/>
        <v>3238.3048522097265</v>
      </c>
      <c r="M44" s="84">
        <f t="shared" si="28"/>
        <v>643.99117354524924</v>
      </c>
      <c r="N44" s="84">
        <f t="shared" si="28"/>
        <v>4444.8613482613337</v>
      </c>
      <c r="O44" s="84">
        <f t="shared" si="28"/>
        <v>11337.209641451378</v>
      </c>
      <c r="P44" s="84">
        <f t="shared" si="28"/>
        <v>5615.2950575213708</v>
      </c>
      <c r="Q44" s="84">
        <f t="shared" si="28"/>
        <v>4512.0380940788855</v>
      </c>
      <c r="R44" s="84">
        <f t="shared" si="28"/>
        <v>897.29436847304737</v>
      </c>
    </row>
    <row r="45" spans="1:18">
      <c r="A45" s="82" t="s">
        <v>15</v>
      </c>
      <c r="B45" s="82" t="s">
        <v>6</v>
      </c>
      <c r="C45" s="67">
        <f>IFERROR(1/SUM(1/C46),0)</f>
        <v>0.51697445867803271</v>
      </c>
      <c r="D45" s="67">
        <f t="shared" ref="D45:E45" si="29">IFERROR(1/SUM(1/D46),0)</f>
        <v>3.857693334286458E-3</v>
      </c>
      <c r="E45" s="67">
        <f t="shared" si="29"/>
        <v>2.8203314071977665</v>
      </c>
      <c r="F45" s="67">
        <f>IFERROR(1/SUM(1/F46,1/F47),0)</f>
        <v>4.7020180546722958</v>
      </c>
      <c r="G45" s="68">
        <f>IFERROR(1/SUM(1/G46,1/G47),0)</f>
        <v>0.39974824827439309</v>
      </c>
      <c r="H45" s="68">
        <f t="shared" ref="H45:R45" si="30">IFERROR(1/SUM(1/H46,1/H47),0)</f>
        <v>3.8260044849450481E-3</v>
      </c>
      <c r="I45" s="67">
        <f t="shared" si="30"/>
        <v>0.79256737975352198</v>
      </c>
      <c r="J45" s="67">
        <f t="shared" si="30"/>
        <v>3.9833398347716371</v>
      </c>
      <c r="K45" s="67">
        <f t="shared" si="30"/>
        <v>1.3925974788636228</v>
      </c>
      <c r="L45" s="67">
        <f t="shared" si="30"/>
        <v>0.89099616255807557</v>
      </c>
      <c r="M45" s="67">
        <f t="shared" si="30"/>
        <v>3.9500618695119076</v>
      </c>
      <c r="N45" s="67">
        <f t="shared" si="30"/>
        <v>0.94316898272935346</v>
      </c>
      <c r="O45" s="67">
        <f t="shared" si="30"/>
        <v>4.740335587117313</v>
      </c>
      <c r="P45" s="67">
        <f t="shared" si="30"/>
        <v>1.6572253607659957</v>
      </c>
      <c r="Q45" s="67">
        <f t="shared" si="30"/>
        <v>1.0603025749182695</v>
      </c>
      <c r="R45" s="67">
        <f t="shared" si="30"/>
        <v>4.7020180546722958</v>
      </c>
    </row>
    <row r="46" spans="1:18">
      <c r="A46" s="65" t="s">
        <v>403</v>
      </c>
      <c r="B46" s="89">
        <v>1</v>
      </c>
      <c r="C46" s="84">
        <f>IFERROR(C10/$B46,0)</f>
        <v>0.51697445867803271</v>
      </c>
      <c r="D46" s="84">
        <f>IFERROR(D10/$B46,0)</f>
        <v>3.857693334286458E-3</v>
      </c>
      <c r="E46" s="84">
        <f>IFERROR(E10/$B46,0)</f>
        <v>2.8203314071977665</v>
      </c>
      <c r="F46" s="84">
        <f>IFERROR(F10/$B46,0)</f>
        <v>822.94664409913503</v>
      </c>
      <c r="G46" s="83">
        <f>(IF(AND(C46&lt;&gt;0,E46&lt;&gt;0,F46&lt;&gt;0),1/((1/C46)+(1/E46)+(1/F46)),IF(AND(C46&lt;&gt;0,E46&lt;&gt;0,F46=0), 1/((1/C46)+(1/E46)),IF(AND(C46&lt;&gt;0,E46=0,F46&lt;&gt;0),1/((1/C46)+(1/F46)),IF(AND(C46=0,E46&lt;&gt;0,F46&lt;&gt;0),1/((1/E46)+(1/F46)),IF(AND(C46&lt;&gt;0,E46=0,F46=0),1/(1/C46),IF(AND(C46=0,E46&lt;&gt;0,F46=0),1/(1/E46),IF(AND(C46=0,E46=0,F46&lt;&gt;0),1/(1/F46),IF(AND(C46=0,E46=0,F46=0),0)))))))))</f>
        <v>0.43665930504455192</v>
      </c>
      <c r="H46" s="83">
        <f>(IF(AND(C46&lt;&gt;0,D46&lt;&gt;0,F46&lt;&gt;0),1/((1/C46)+(1/D46)+(1/F46)),IF(AND(C46&lt;&gt;0,D46&lt;&gt;0,F46=0), 1/((1/C46)+(1/D46)),IF(AND(C46&lt;&gt;0,D46=0,F46&lt;&gt;0),1/((1/C46)+(1/F46)),IF(AND(C46=0,D46&lt;&gt;0,F46&lt;&gt;0),1/((1/D46)+(1/F46)),IF(AND(C46&lt;&gt;0,D46=0,F46=0),1/(1/C46),IF(AND(C46=0,D46&lt;&gt;0,F46=0),1/(1/D46),IF(AND(C46=0,D46=0,F46&lt;&gt;0),1/(1/F46),IF(AND(C46=0,D46=0,F46=0),0)))))))))</f>
        <v>3.8291024010064299E-3</v>
      </c>
      <c r="I46" s="84">
        <f t="shared" ref="I46:R46" si="31">IFERROR(I10/$B46,0)</f>
        <v>2764.4145236217259</v>
      </c>
      <c r="J46" s="84">
        <f t="shared" si="31"/>
        <v>5978.8500162051259</v>
      </c>
      <c r="K46" s="84">
        <f t="shared" si="31"/>
        <v>3427.8740092909393</v>
      </c>
      <c r="L46" s="84">
        <f t="shared" si="31"/>
        <v>2812.8069004028489</v>
      </c>
      <c r="M46" s="84">
        <f t="shared" si="31"/>
        <v>656.25729194508369</v>
      </c>
      <c r="N46" s="84">
        <f t="shared" si="31"/>
        <v>3466.5758126216442</v>
      </c>
      <c r="O46" s="84">
        <f t="shared" si="31"/>
        <v>7497.4779203212292</v>
      </c>
      <c r="P46" s="84">
        <f t="shared" si="31"/>
        <v>4298.5540076508378</v>
      </c>
      <c r="Q46" s="84">
        <f t="shared" si="31"/>
        <v>3527.2598531051735</v>
      </c>
      <c r="R46" s="84">
        <f t="shared" si="31"/>
        <v>822.94664409913503</v>
      </c>
    </row>
    <row r="47" spans="1:18">
      <c r="A47" s="65" t="s">
        <v>404</v>
      </c>
      <c r="B47" s="89">
        <v>0.94399</v>
      </c>
      <c r="C47" s="84">
        <f>IFERROR(C6/$B47,0)</f>
        <v>0</v>
      </c>
      <c r="D47" s="84">
        <f>IFERROR(D6/$B47,0)</f>
        <v>0</v>
      </c>
      <c r="E47" s="84">
        <f>IFERROR(E6/$B47,0)</f>
        <v>0</v>
      </c>
      <c r="F47" s="84">
        <f>IFERROR(F6/$B47,0)</f>
        <v>4.7290380595494961</v>
      </c>
      <c r="G47" s="83">
        <f>(IF(AND(C47&lt;&gt;0,E47&lt;&gt;0,F47&lt;&gt;0),1/((1/C47)+(1/E47)+(1/F47)),IF(AND(C47&lt;&gt;0,E47&lt;&gt;0,F47=0), 1/((1/C47)+(1/E47)),IF(AND(C47&lt;&gt;0,E47=0,F47&lt;&gt;0),1/((1/C47)+(1/F47)),IF(AND(C47=0,E47&lt;&gt;0,F47&lt;&gt;0),1/((1/E47)+(1/F47)),IF(AND(C47&lt;&gt;0,E47=0,F47=0),1/(1/C47),IF(AND(C47=0,E47&lt;&gt;0,F47=0),1/(1/E47),IF(AND(C47=0,E47=0,F47&lt;&gt;0),1/(1/F47),IF(AND(C47=0,E47=0,F47=0),0)))))))))</f>
        <v>4.7290380595494961</v>
      </c>
      <c r="H47" s="83">
        <f>(IF(AND(C47&lt;&gt;0,D47&lt;&gt;0,F47&lt;&gt;0),1/((1/C47)+(1/D47)+(1/F47)),IF(AND(C47&lt;&gt;0,D47&lt;&gt;0,F47=0), 1/((1/C47)+(1/D47)),IF(AND(C47&lt;&gt;0,D47=0,F47&lt;&gt;0),1/((1/C47)+(1/F47)),IF(AND(C47=0,D47&lt;&gt;0,F47&lt;&gt;0),1/((1/D47)+(1/F47)),IF(AND(C47&lt;&gt;0,D47=0,F47=0),1/(1/C47),IF(AND(C47=0,D47&lt;&gt;0,F47=0),1/(1/D47),IF(AND(C47=0,D47=0,F47&lt;&gt;0),1/(1/F47),IF(AND(C47=0,D47=0,F47=0),0)))))))))</f>
        <v>4.7290380595494961</v>
      </c>
      <c r="I47" s="84">
        <f t="shared" ref="I47:R47" si="32">IFERROR(I6/$B47,0)</f>
        <v>0.79279467677945226</v>
      </c>
      <c r="J47" s="84">
        <f t="shared" si="32"/>
        <v>3.9859954582522463</v>
      </c>
      <c r="K47" s="84">
        <f t="shared" si="32"/>
        <v>1.3931634611367067</v>
      </c>
      <c r="L47" s="84">
        <f t="shared" si="32"/>
        <v>0.89127848755950834</v>
      </c>
      <c r="M47" s="84">
        <f t="shared" si="32"/>
        <v>3.9739815626466353</v>
      </c>
      <c r="N47" s="84">
        <f t="shared" si="32"/>
        <v>0.94342566536754813</v>
      </c>
      <c r="O47" s="84">
        <f t="shared" si="32"/>
        <v>4.7433345953201727</v>
      </c>
      <c r="P47" s="84">
        <f t="shared" si="32"/>
        <v>1.6578645187526817</v>
      </c>
      <c r="Q47" s="84">
        <f t="shared" si="32"/>
        <v>1.060621400195815</v>
      </c>
      <c r="R47" s="84">
        <f t="shared" si="32"/>
        <v>4.7290380595494961</v>
      </c>
    </row>
    <row r="48" spans="1:18">
      <c r="A48" s="82" t="s">
        <v>28</v>
      </c>
      <c r="B48" s="82" t="s">
        <v>6</v>
      </c>
      <c r="C48" s="67">
        <f>IFERROR(1/SUM(1/C49,1/C52,1/C54,1/C58,1/C59,1/C61),0)</f>
        <v>2.1319208871443474E-3</v>
      </c>
      <c r="D48" s="67">
        <f>IFERROR(1/SUM(1/D49,1/D50,1/D51,1/D52,1/D54,1/D58,1/D59,1/D61),0)</f>
        <v>7.5943456580616611E-6</v>
      </c>
      <c r="E48" s="67">
        <f>IFERROR(1/SUM(1/E49,1/E50,1/E51,1/E52,1/E54,1/E58,1/E59,1/E61),0)</f>
        <v>5.5521706160992709E-3</v>
      </c>
      <c r="F48" s="67">
        <f>IFERROR(1/SUM(1/F49,1/F50,1/F51,1/F52,1/F53,1/F54,1/F55,1/F56,1/F57,1/F58,1/F59,1/F60,1/F61,1/F62),0)</f>
        <v>1.5081676737567258</v>
      </c>
      <c r="G48" s="68">
        <f t="shared" ref="G48:H48" si="33">IFERROR(1/SUM(1/G49,1/G50,1/G51,1/G52,1/G53,1/G54,1/G55,1/G56,1/G57,1/G58,1/G59,1/G60,1/G61,1/G62),0)</f>
        <v>1.538856071065835E-3</v>
      </c>
      <c r="H48" s="68">
        <f t="shared" si="33"/>
        <v>7.5673510742280907E-6</v>
      </c>
      <c r="I48" s="67">
        <f>IFERROR(1/SUM(1/I49,1/I50,1/I51,1/I52,1/I53,1/I54,1/I55,1/I56,1/I58,1/I59,1/I61,1/I62),0)</f>
        <v>0.24735761243229026</v>
      </c>
      <c r="J48" s="67">
        <f t="shared" ref="J48:M48" si="34">IFERROR(1/SUM(1/J49,1/J50,1/J51,1/J52,1/J53,1/J54,1/J55,1/J56,1/J58,1/J59,1/J61,1/J62),0)</f>
        <v>1.3395877547771158</v>
      </c>
      <c r="K48" s="67">
        <f t="shared" si="34"/>
        <v>0.4659905414306208</v>
      </c>
      <c r="L48" s="67">
        <f t="shared" si="34"/>
        <v>0.29173035693110994</v>
      </c>
      <c r="M48" s="67">
        <f t="shared" si="34"/>
        <v>1.2880709778515231</v>
      </c>
      <c r="N48" s="67">
        <f t="shared" ref="N48" si="35">IFERROR(1/SUM(1/N49,1/N50,1/N51,1/N52,1/N53,1/N54,1/N55,1/N56,1/N57,1/N58,1/N59,1/N60,1/N61,1/N62),0)</f>
        <v>0.28850763346401342</v>
      </c>
      <c r="O48" s="67">
        <f t="shared" ref="O48" si="36">IFERROR(1/SUM(1/O49,1/O50,1/O51,1/O52,1/O53,1/O54,1/O55,1/O56,1/O57,1/O58,1/O59,1/O60,1/O61,1/O62),0)</f>
        <v>1.5661660533884971</v>
      </c>
      <c r="P48" s="67">
        <f t="shared" ref="P48" si="37">IFERROR(1/SUM(1/P49,1/P50,1/P51,1/P52,1/P53,1/P54,1/P55,1/P56,1/P57,1/P58,1/P59,1/P60,1/P61,1/P62),0)</f>
        <v>0.54458643274204543</v>
      </c>
      <c r="Q48" s="67">
        <f t="shared" ref="Q48" si="38">IFERROR(1/SUM(1/Q49,1/Q50,1/Q51,1/Q52,1/Q53,1/Q54,1/Q55,1/Q56,1/Q57,1/Q58,1/Q59,1/Q60,1/Q61,1/Q62),0)</f>
        <v>0.34062554523068539</v>
      </c>
      <c r="R48" s="67">
        <f t="shared" ref="R48" si="39">IFERROR(1/SUM(1/R49,1/R50,1/R51,1/R52,1/R53,1/R54,1/R55,1/R56,1/R57,1/R58,1/R59,1/R60,1/R61,1/R62),0)</f>
        <v>1.5081676737567258</v>
      </c>
    </row>
    <row r="49" spans="1:18">
      <c r="A49" s="65" t="s">
        <v>405</v>
      </c>
      <c r="B49" s="89">
        <v>1</v>
      </c>
      <c r="C49" s="84">
        <f>IFERROR(C23/$B49,0)</f>
        <v>1.5178278808869393E-2</v>
      </c>
      <c r="D49" s="84">
        <f>IFERROR(D23/$B49,0)</f>
        <v>1.5618040003858765E-5</v>
      </c>
      <c r="E49" s="84">
        <f>IFERROR(E23/$B49,0)</f>
        <v>1.1418234920402609E-2</v>
      </c>
      <c r="F49" s="84">
        <f>IFERROR(F23/$B49,0)</f>
        <v>385.6022449147145</v>
      </c>
      <c r="G49" s="83">
        <f t="shared" ref="G49:G62" si="40">(IF(AND(C49&lt;&gt;0,E49&lt;&gt;0,F49&lt;&gt;0),1/((1/C49)+(1/E49)+(1/F49)),IF(AND(C49&lt;&gt;0,E49&lt;&gt;0,F49=0), 1/((1/C49)+(1/E49)),IF(AND(C49&lt;&gt;0,E49=0,F49&lt;&gt;0),1/((1/C49)+(1/F49)),IF(AND(C49=0,E49&lt;&gt;0,F49&lt;&gt;0),1/((1/E49)+(1/F49)),IF(AND(C49&lt;&gt;0,E49=0,F49=0),1/(1/C49),IF(AND(C49=0,E49&lt;&gt;0,F49=0),1/(1/E49),IF(AND(C49=0,E49=0,F49&lt;&gt;0),1/(1/F49),IF(AND(C49=0,E49=0,F49=0),0)))))))))</f>
        <v>6.5161256176162951E-3</v>
      </c>
      <c r="H49" s="83">
        <f t="shared" ref="H49:H62" si="41">(IF(AND(C49&lt;&gt;0,D49&lt;&gt;0,F49&lt;&gt;0),1/((1/C49)+(1/D49)+(1/F49)),IF(AND(C49&lt;&gt;0,D49&lt;&gt;0,F49=0), 1/((1/C49)+(1/D49)),IF(AND(C49&lt;&gt;0,D49=0,F49&lt;&gt;0),1/((1/C49)+(1/F49)),IF(AND(C49=0,D49&lt;&gt;0,F49&lt;&gt;0),1/((1/D49)+(1/F49)),IF(AND(C49&lt;&gt;0,D49=0,F49=0),1/(1/C49),IF(AND(C49=0,D49&lt;&gt;0,F49=0),1/(1/D49),IF(AND(C49=0,D49=0,F49&lt;&gt;0),1/(1/F49),IF(AND(C49=0,D49=0,F49=0),0)))))))))</f>
        <v>1.5601985349312199E-5</v>
      </c>
      <c r="I49" s="84">
        <f t="shared" ref="I49:R49" si="42">IFERROR(I23/$B49,0)</f>
        <v>73.390901150476424</v>
      </c>
      <c r="J49" s="84">
        <f t="shared" si="42"/>
        <v>294.25597159389133</v>
      </c>
      <c r="K49" s="84">
        <f t="shared" si="42"/>
        <v>106.63635209898281</v>
      </c>
      <c r="L49" s="84">
        <f t="shared" si="42"/>
        <v>75.159356599885498</v>
      </c>
      <c r="M49" s="84">
        <f t="shared" si="42"/>
        <v>298.45374993398946</v>
      </c>
      <c r="N49" s="84">
        <f t="shared" si="42"/>
        <v>94.821044286415557</v>
      </c>
      <c r="O49" s="84">
        <f t="shared" si="42"/>
        <v>380.17871529930756</v>
      </c>
      <c r="P49" s="84">
        <f t="shared" si="42"/>
        <v>137.77416691188586</v>
      </c>
      <c r="Q49" s="84">
        <f t="shared" si="42"/>
        <v>97.105888727052061</v>
      </c>
      <c r="R49" s="84">
        <f t="shared" si="42"/>
        <v>385.6022449147145</v>
      </c>
    </row>
    <row r="50" spans="1:18">
      <c r="A50" s="65" t="s">
        <v>406</v>
      </c>
      <c r="B50" s="89">
        <v>1</v>
      </c>
      <c r="C50" s="84">
        <f>IFERROR(C25/$B50,0)</f>
        <v>0</v>
      </c>
      <c r="D50" s="84">
        <f>IFERROR(D25/$B50,0)</f>
        <v>9.0870764052985872E-2</v>
      </c>
      <c r="E50" s="84">
        <f>IFERROR(E25/$B50,0)</f>
        <v>66.434951575044778</v>
      </c>
      <c r="F50" s="84">
        <f>IFERROR(F25/$B50,0)</f>
        <v>6924.2553656728296</v>
      </c>
      <c r="G50" s="83">
        <f t="shared" si="40"/>
        <v>65.803597217966626</v>
      </c>
      <c r="H50" s="83">
        <f t="shared" si="41"/>
        <v>9.0869571522243245E-2</v>
      </c>
      <c r="I50" s="84">
        <f t="shared" ref="I50:R50" si="43">IFERROR(I25/$B50,0)</f>
        <v>1177.3505652227411</v>
      </c>
      <c r="J50" s="84">
        <f t="shared" si="43"/>
        <v>5687.2018828556147</v>
      </c>
      <c r="K50" s="84">
        <f t="shared" si="43"/>
        <v>1994.3233942851782</v>
      </c>
      <c r="L50" s="84">
        <f t="shared" si="43"/>
        <v>1290.5573503403125</v>
      </c>
      <c r="M50" s="84">
        <f t="shared" si="43"/>
        <v>5765.4082978125143</v>
      </c>
      <c r="N50" s="84">
        <f t="shared" si="43"/>
        <v>1413.9980288325123</v>
      </c>
      <c r="O50" s="84">
        <f t="shared" si="43"/>
        <v>6830.329461309595</v>
      </c>
      <c r="P50" s="84">
        <f t="shared" si="43"/>
        <v>2395.1823965364993</v>
      </c>
      <c r="Q50" s="84">
        <f t="shared" si="43"/>
        <v>1549.9593777587156</v>
      </c>
      <c r="R50" s="84">
        <f t="shared" si="43"/>
        <v>6924.2553656728296</v>
      </c>
    </row>
    <row r="51" spans="1:18">
      <c r="A51" s="65" t="s">
        <v>407</v>
      </c>
      <c r="B51" s="89">
        <v>1</v>
      </c>
      <c r="C51" s="84">
        <f>IFERROR(C21/$B51,0)</f>
        <v>0</v>
      </c>
      <c r="D51" s="84">
        <f>IFERROR(D21/$B51,0)</f>
        <v>7.8110696134784427E-2</v>
      </c>
      <c r="E51" s="84">
        <f>IFERROR(E21/$B51,0)</f>
        <v>57.106159162276029</v>
      </c>
      <c r="F51" s="84">
        <f>IFERROR(F21/$B51,0)</f>
        <v>430379782.12703294</v>
      </c>
      <c r="G51" s="83">
        <f t="shared" si="40"/>
        <v>57.10615158498473</v>
      </c>
      <c r="H51" s="83">
        <f t="shared" si="41"/>
        <v>7.811069612060792E-2</v>
      </c>
      <c r="I51" s="84">
        <f t="shared" ref="I51:R51" si="44">IFERROR(I21/$B51,0)</f>
        <v>277236395.43151021</v>
      </c>
      <c r="J51" s="84">
        <f t="shared" si="44"/>
        <v>590322324.75502598</v>
      </c>
      <c r="K51" s="84">
        <f t="shared" si="44"/>
        <v>315564007.70314747</v>
      </c>
      <c r="L51" s="84">
        <f t="shared" si="44"/>
        <v>277236395.43151021</v>
      </c>
      <c r="M51" s="84">
        <f t="shared" si="44"/>
        <v>329092441.7284025</v>
      </c>
      <c r="N51" s="84">
        <f t="shared" si="44"/>
        <v>362563597.13654166</v>
      </c>
      <c r="O51" s="84">
        <f t="shared" si="44"/>
        <v>772010418.04073954</v>
      </c>
      <c r="P51" s="84">
        <f t="shared" si="44"/>
        <v>412687596.74067187</v>
      </c>
      <c r="Q51" s="84">
        <f t="shared" si="44"/>
        <v>362563597.13654166</v>
      </c>
      <c r="R51" s="84">
        <f t="shared" si="44"/>
        <v>430379782.12703294</v>
      </c>
    </row>
    <row r="52" spans="1:18">
      <c r="A52" s="65" t="s">
        <v>408</v>
      </c>
      <c r="B52" s="89">
        <v>0.99980000000000002</v>
      </c>
      <c r="C52" s="84">
        <f>IFERROR(C17/$B52,0)</f>
        <v>34.558470992780641</v>
      </c>
      <c r="D52" s="84">
        <f>IFERROR(D17/$B52,0)</f>
        <v>1.2775162426198921E-2</v>
      </c>
      <c r="E52" s="84">
        <f>IFERROR(E17/$B52,0)</f>
        <v>9.339827897264934</v>
      </c>
      <c r="F52" s="84">
        <f>IFERROR(F17/$B52,0)</f>
        <v>10.602215076884892</v>
      </c>
      <c r="G52" s="83">
        <f t="shared" si="40"/>
        <v>4.3416961388125497</v>
      </c>
      <c r="H52" s="83">
        <f t="shared" si="41"/>
        <v>1.2755078022059428E-2</v>
      </c>
      <c r="I52" s="84">
        <f t="shared" ref="I52:R52" si="45">IFERROR(I17/$B52,0)</f>
        <v>1.9196005840082278</v>
      </c>
      <c r="J52" s="84">
        <f t="shared" si="45"/>
        <v>8.6126079535835824</v>
      </c>
      <c r="K52" s="84">
        <f t="shared" si="45"/>
        <v>3.0541162955970145</v>
      </c>
      <c r="L52" s="84">
        <f t="shared" si="45"/>
        <v>2.0538810700119829</v>
      </c>
      <c r="M52" s="84">
        <f t="shared" si="45"/>
        <v>8.4953646449398175</v>
      </c>
      <c r="N52" s="84">
        <f t="shared" si="45"/>
        <v>2.3956615288422682</v>
      </c>
      <c r="O52" s="84">
        <f t="shared" si="45"/>
        <v>10.748534726072307</v>
      </c>
      <c r="P52" s="84">
        <f t="shared" si="45"/>
        <v>3.8115371369050743</v>
      </c>
      <c r="Q52" s="84">
        <f t="shared" si="45"/>
        <v>2.5632435753749552</v>
      </c>
      <c r="R52" s="84">
        <f t="shared" si="45"/>
        <v>10.602215076884892</v>
      </c>
    </row>
    <row r="53" spans="1:18">
      <c r="A53" s="65" t="s">
        <v>409</v>
      </c>
      <c r="B53" s="89">
        <v>2.0000000000000001E-4</v>
      </c>
      <c r="C53" s="84">
        <f>IFERROR(C5/$B53,0)</f>
        <v>0</v>
      </c>
      <c r="D53" s="84">
        <f>IFERROR(D5/$B53,0)</f>
        <v>0</v>
      </c>
      <c r="E53" s="84">
        <f>IFERROR(E5/$B53,0)</f>
        <v>0</v>
      </c>
      <c r="F53" s="84">
        <f>IFERROR(F5/$B53,0)</f>
        <v>114481022.04579076</v>
      </c>
      <c r="G53" s="83">
        <f t="shared" si="40"/>
        <v>114481022.04579076</v>
      </c>
      <c r="H53" s="83">
        <f t="shared" si="41"/>
        <v>114481022.04579076</v>
      </c>
      <c r="I53" s="84">
        <f t="shared" ref="I53:R53" si="46">IFERROR(I5/$B53,0)</f>
        <v>180911511.84811383</v>
      </c>
      <c r="J53" s="84">
        <f t="shared" si="46"/>
        <v>319003730.95111197</v>
      </c>
      <c r="K53" s="84">
        <f t="shared" si="46"/>
        <v>227475234.30691111</v>
      </c>
      <c r="L53" s="84">
        <f t="shared" si="46"/>
        <v>188502204.65292981</v>
      </c>
      <c r="M53" s="84">
        <f t="shared" si="46"/>
        <v>68918341.030910835</v>
      </c>
      <c r="N53" s="84">
        <f t="shared" si="46"/>
        <v>300514122.45881128</v>
      </c>
      <c r="O53" s="84">
        <f t="shared" si="46"/>
        <v>529900641.9687916</v>
      </c>
      <c r="P53" s="84">
        <f t="shared" si="46"/>
        <v>377861639.20981342</v>
      </c>
      <c r="Q53" s="84">
        <f t="shared" si="46"/>
        <v>313123106.61792231</v>
      </c>
      <c r="R53" s="84">
        <f t="shared" si="46"/>
        <v>114481022.04579076</v>
      </c>
    </row>
    <row r="54" spans="1:18">
      <c r="A54" s="65" t="s">
        <v>410</v>
      </c>
      <c r="B54" s="89">
        <v>0.99999979999999999</v>
      </c>
      <c r="C54" s="84">
        <f>IFERROR(C9/$B54,0)</f>
        <v>46.146051513893767</v>
      </c>
      <c r="D54" s="84">
        <f>IFERROR(D9/$B54,0)</f>
        <v>1.6262394087097874E-2</v>
      </c>
      <c r="E54" s="84">
        <f>IFERROR(E9/$B54,0)</f>
        <v>11.889317482140635</v>
      </c>
      <c r="F54" s="84">
        <f>IFERROR(F9/$B54,0)</f>
        <v>1.8139602191514046</v>
      </c>
      <c r="G54" s="83">
        <f t="shared" si="40"/>
        <v>1.5219323010375301</v>
      </c>
      <c r="H54" s="83">
        <f t="shared" si="41"/>
        <v>1.6112267325836146E-2</v>
      </c>
      <c r="I54" s="84">
        <f t="shared" ref="I54:R54" si="47">IFERROR(I9/$B54,0)</f>
        <v>0.28540586854711519</v>
      </c>
      <c r="J54" s="84">
        <f t="shared" si="47"/>
        <v>1.6004985059580201</v>
      </c>
      <c r="K54" s="84">
        <f t="shared" si="47"/>
        <v>0.55382329253785445</v>
      </c>
      <c r="L54" s="84">
        <f t="shared" si="47"/>
        <v>0.34206732774396897</v>
      </c>
      <c r="M54" s="84">
        <f t="shared" si="47"/>
        <v>1.5705283282696145</v>
      </c>
      <c r="N54" s="84">
        <f t="shared" si="47"/>
        <v>0.32964377817191803</v>
      </c>
      <c r="O54" s="84">
        <f t="shared" si="47"/>
        <v>1.848575774381513</v>
      </c>
      <c r="P54" s="84">
        <f t="shared" si="47"/>
        <v>0.63966590288122183</v>
      </c>
      <c r="Q54" s="84">
        <f t="shared" si="47"/>
        <v>0.39508776354428415</v>
      </c>
      <c r="R54" s="84">
        <f t="shared" si="47"/>
        <v>1.8139602191514046</v>
      </c>
    </row>
    <row r="55" spans="1:18">
      <c r="A55" s="65" t="s">
        <v>411</v>
      </c>
      <c r="B55" s="89">
        <v>1.9999999999999999E-7</v>
      </c>
      <c r="C55" s="84">
        <f>IFERROR(C24/$B55,0)</f>
        <v>0</v>
      </c>
      <c r="D55" s="84">
        <f>IFERROR(D24/$B55,0)</f>
        <v>0</v>
      </c>
      <c r="E55" s="84">
        <f>IFERROR(E24/$B55,0)</f>
        <v>0</v>
      </c>
      <c r="F55" s="84">
        <f>IFERROR(F24/$B55,0)</f>
        <v>17788832845.513065</v>
      </c>
      <c r="G55" s="83">
        <f t="shared" si="40"/>
        <v>17788832845.513065</v>
      </c>
      <c r="H55" s="83">
        <f t="shared" si="41"/>
        <v>17788832845.513065</v>
      </c>
      <c r="I55" s="84">
        <f t="shared" ref="I55:R55" si="48">IFERROR(I24/$B55,0)</f>
        <v>2963114058.7437391</v>
      </c>
      <c r="J55" s="84">
        <f t="shared" si="48"/>
        <v>14718736500.949295</v>
      </c>
      <c r="K55" s="84">
        <f t="shared" si="48"/>
        <v>5157175613.6913939</v>
      </c>
      <c r="L55" s="84">
        <f t="shared" si="48"/>
        <v>3311715712.7135916</v>
      </c>
      <c r="M55" s="84">
        <f t="shared" si="48"/>
        <v>14911008252.735176</v>
      </c>
      <c r="N55" s="84">
        <f t="shared" si="48"/>
        <v>3534995072.0812812</v>
      </c>
      <c r="O55" s="84">
        <f t="shared" si="48"/>
        <v>17559452645.632511</v>
      </c>
      <c r="P55" s="84">
        <f t="shared" si="48"/>
        <v>6152510507.1338329</v>
      </c>
      <c r="Q55" s="84">
        <f t="shared" si="48"/>
        <v>3950876845.2673144</v>
      </c>
      <c r="R55" s="84">
        <f t="shared" si="48"/>
        <v>17788832845.513065</v>
      </c>
    </row>
    <row r="56" spans="1:18">
      <c r="A56" s="65" t="s">
        <v>412</v>
      </c>
      <c r="B56" s="89">
        <v>0.99979000004200003</v>
      </c>
      <c r="C56" s="84">
        <f>IFERROR(C20/$B56,0)</f>
        <v>0</v>
      </c>
      <c r="D56" s="84">
        <f>IFERROR(D20/$B56,0)</f>
        <v>0</v>
      </c>
      <c r="E56" s="84">
        <f>IFERROR(E20/$B56,0)</f>
        <v>0</v>
      </c>
      <c r="F56" s="84">
        <f>IFERROR(F20/$B56,0)</f>
        <v>32736.518835691011</v>
      </c>
      <c r="G56" s="83">
        <f t="shared" si="40"/>
        <v>32736.518835691011</v>
      </c>
      <c r="H56" s="83">
        <f t="shared" si="41"/>
        <v>32736.518835691011</v>
      </c>
      <c r="I56" s="84">
        <f t="shared" ref="I56:R56" si="49">IFERROR(I20/$B56,0)</f>
        <v>5321.0573328703149</v>
      </c>
      <c r="J56" s="84">
        <f t="shared" si="49"/>
        <v>27350.234690953424</v>
      </c>
      <c r="K56" s="84">
        <f t="shared" si="49"/>
        <v>9563.0191227109863</v>
      </c>
      <c r="L56" s="84">
        <f t="shared" si="49"/>
        <v>6050.9368785295183</v>
      </c>
      <c r="M56" s="84">
        <f t="shared" si="49"/>
        <v>27766.343372087369</v>
      </c>
      <c r="N56" s="84">
        <f t="shared" si="49"/>
        <v>6273.5265954541019</v>
      </c>
      <c r="O56" s="84">
        <f t="shared" si="49"/>
        <v>32245.926700634089</v>
      </c>
      <c r="P56" s="84">
        <f t="shared" si="49"/>
        <v>11274.799545676256</v>
      </c>
      <c r="Q56" s="84">
        <f t="shared" si="49"/>
        <v>7134.0545797863024</v>
      </c>
      <c r="R56" s="84">
        <f t="shared" si="49"/>
        <v>32736.518835691011</v>
      </c>
    </row>
    <row r="57" spans="1:18">
      <c r="A57" s="65" t="s">
        <v>413</v>
      </c>
      <c r="B57" s="89">
        <v>2.0999995799999999E-4</v>
      </c>
      <c r="C57" s="84">
        <f>IFERROR(C29/$B57,0)</f>
        <v>0</v>
      </c>
      <c r="D57" s="84">
        <f>IFERROR(D29/$B57,0)</f>
        <v>0</v>
      </c>
      <c r="E57" s="84">
        <f>IFERROR(E29/$B57,0)</f>
        <v>0</v>
      </c>
      <c r="F57" s="84">
        <f>IFERROR(F29/$B57,0)</f>
        <v>4646.1463044642769</v>
      </c>
      <c r="G57" s="83">
        <f t="shared" si="40"/>
        <v>4646.1463044642769</v>
      </c>
      <c r="H57" s="83">
        <f t="shared" si="41"/>
        <v>4646.1463044642769</v>
      </c>
      <c r="I57" s="84">
        <f t="shared" ref="I57:R57" si="50">IFERROR(I29/$B57,0)</f>
        <v>0</v>
      </c>
      <c r="J57" s="84">
        <f t="shared" si="50"/>
        <v>0</v>
      </c>
      <c r="K57" s="84">
        <f t="shared" si="50"/>
        <v>0</v>
      </c>
      <c r="L57" s="84">
        <f t="shared" si="50"/>
        <v>0</v>
      </c>
      <c r="M57" s="84">
        <f t="shared" si="50"/>
        <v>0</v>
      </c>
      <c r="N57" s="84">
        <f t="shared" si="50"/>
        <v>854.78739805953944</v>
      </c>
      <c r="O57" s="84">
        <f t="shared" si="50"/>
        <v>4680.4822162040628</v>
      </c>
      <c r="P57" s="84">
        <f t="shared" si="50"/>
        <v>1629.7220455572533</v>
      </c>
      <c r="Q57" s="84">
        <f t="shared" si="50"/>
        <v>1014.001431251607</v>
      </c>
      <c r="R57" s="84">
        <f t="shared" si="50"/>
        <v>4646.1463044642769</v>
      </c>
    </row>
    <row r="58" spans="1:18">
      <c r="A58" s="65" t="s">
        <v>414</v>
      </c>
      <c r="B58" s="89">
        <v>1</v>
      </c>
      <c r="C58" s="84">
        <f>IFERROR(C16/$B58,0)</f>
        <v>6.7409414709978781E-3</v>
      </c>
      <c r="D58" s="84">
        <f>IFERROR(D16/$B58,0)</f>
        <v>2.6677580769443654E-5</v>
      </c>
      <c r="E58" s="84">
        <f>IFERROR(E16/$B58,0)</f>
        <v>1.9503784358233307E-2</v>
      </c>
      <c r="F58" s="84">
        <f>IFERROR(F16/$B58,0)</f>
        <v>1187.0152055439135</v>
      </c>
      <c r="G58" s="83">
        <f t="shared" si="40"/>
        <v>5.0095137142323947E-3</v>
      </c>
      <c r="H58" s="83">
        <f t="shared" si="41"/>
        <v>2.6572418623647641E-5</v>
      </c>
      <c r="I58" s="84">
        <f t="shared" ref="I58:R58" si="51">IFERROR(I16/$B58,0)</f>
        <v>960.13875492534567</v>
      </c>
      <c r="J58" s="84">
        <f t="shared" si="51"/>
        <v>1510.3306257252623</v>
      </c>
      <c r="K58" s="84">
        <f t="shared" si="51"/>
        <v>977.5958231967154</v>
      </c>
      <c r="L58" s="84">
        <f t="shared" si="51"/>
        <v>960.13875492534567</v>
      </c>
      <c r="M58" s="84">
        <f t="shared" si="51"/>
        <v>791.87138461902168</v>
      </c>
      <c r="N58" s="84">
        <f t="shared" si="51"/>
        <v>1439.2479936330931</v>
      </c>
      <c r="O58" s="84">
        <f t="shared" si="51"/>
        <v>2263.9856079621686</v>
      </c>
      <c r="P58" s="84">
        <f t="shared" si="51"/>
        <v>1465.4161389718768</v>
      </c>
      <c r="Q58" s="84">
        <f t="shared" si="51"/>
        <v>1439.2479936330931</v>
      </c>
      <c r="R58" s="84">
        <f t="shared" si="51"/>
        <v>1187.0152055439135</v>
      </c>
    </row>
    <row r="59" spans="1:18">
      <c r="A59" s="65" t="s">
        <v>415</v>
      </c>
      <c r="B59" s="89">
        <v>1</v>
      </c>
      <c r="C59" s="84">
        <f>IFERROR(C7/$B59,0)</f>
        <v>3.8198668335654644</v>
      </c>
      <c r="D59" s="84">
        <f>IFERROR(D7/$B59,0)</f>
        <v>1.1018206304092141E-3</v>
      </c>
      <c r="E59" s="84">
        <f>IFERROR(E7/$B59,0)</f>
        <v>0.80553301150785528</v>
      </c>
      <c r="F59" s="84">
        <f>IFERROR(F7/$B59,0)</f>
        <v>73.385270542173572</v>
      </c>
      <c r="G59" s="83">
        <f t="shared" si="40"/>
        <v>0.65926966293875788</v>
      </c>
      <c r="H59" s="83">
        <f t="shared" si="41"/>
        <v>1.1014863744902093E-3</v>
      </c>
      <c r="I59" s="84">
        <f t="shared" ref="I59:R59" si="52">IFERROR(I7/$B59,0)</f>
        <v>438.72107627443762</v>
      </c>
      <c r="J59" s="84">
        <f t="shared" si="52"/>
        <v>765.15044850244158</v>
      </c>
      <c r="K59" s="84">
        <f t="shared" si="52"/>
        <v>528.99290266835476</v>
      </c>
      <c r="L59" s="84">
        <f t="shared" si="52"/>
        <v>447.89294546484399</v>
      </c>
      <c r="M59" s="84">
        <f t="shared" si="52"/>
        <v>58.520949395672702</v>
      </c>
      <c r="N59" s="84">
        <f t="shared" si="52"/>
        <v>550.15622964814474</v>
      </c>
      <c r="O59" s="84">
        <f t="shared" si="52"/>
        <v>959.49866242206213</v>
      </c>
      <c r="P59" s="84">
        <f t="shared" si="52"/>
        <v>663.35709994611682</v>
      </c>
      <c r="Q59" s="84">
        <f t="shared" si="52"/>
        <v>561.65775361291435</v>
      </c>
      <c r="R59" s="84">
        <f t="shared" si="52"/>
        <v>73.385270542173572</v>
      </c>
    </row>
    <row r="60" spans="1:18">
      <c r="A60" s="65" t="s">
        <v>416</v>
      </c>
      <c r="B60" s="91">
        <v>1.9000000000000001E-8</v>
      </c>
      <c r="C60" s="84">
        <f>IFERROR(C12/$B60,0)</f>
        <v>0</v>
      </c>
      <c r="D60" s="84">
        <f>IFERROR(D12/$B60,0)</f>
        <v>0</v>
      </c>
      <c r="E60" s="84">
        <f>IFERROR(E12/$B60,0)</f>
        <v>0</v>
      </c>
      <c r="F60" s="84">
        <f>IFERROR(F12/$B60,0)</f>
        <v>909863297.78533816</v>
      </c>
      <c r="G60" s="83">
        <f t="shared" si="40"/>
        <v>909863297.78533816</v>
      </c>
      <c r="H60" s="83">
        <f t="shared" si="41"/>
        <v>909863297.78533816</v>
      </c>
      <c r="I60" s="84">
        <f t="shared" ref="I60:R60" si="53">IFERROR(I12/$B60,0)</f>
        <v>0</v>
      </c>
      <c r="J60" s="84">
        <f t="shared" si="53"/>
        <v>0</v>
      </c>
      <c r="K60" s="84">
        <f t="shared" si="53"/>
        <v>0</v>
      </c>
      <c r="L60" s="84">
        <f t="shared" si="53"/>
        <v>0</v>
      </c>
      <c r="M60" s="84">
        <f t="shared" si="53"/>
        <v>0</v>
      </c>
      <c r="N60" s="84">
        <f t="shared" si="53"/>
        <v>258658176.00594738</v>
      </c>
      <c r="O60" s="84">
        <f t="shared" si="53"/>
        <v>1143394632.4791205</v>
      </c>
      <c r="P60" s="84">
        <f t="shared" si="53"/>
        <v>409854501.1108731</v>
      </c>
      <c r="Q60" s="84">
        <f t="shared" si="53"/>
        <v>276351406.28648448</v>
      </c>
      <c r="R60" s="84">
        <f t="shared" si="53"/>
        <v>909863297.78533816</v>
      </c>
    </row>
    <row r="61" spans="1:18">
      <c r="A61" s="65" t="s">
        <v>417</v>
      </c>
      <c r="B61" s="89">
        <v>1</v>
      </c>
      <c r="C61" s="84">
        <f>IFERROR(C18/$B61,0)</f>
        <v>3.9290058859530489E-3</v>
      </c>
      <c r="D61" s="84">
        <f>IFERROR(D18/$B61,0)</f>
        <v>3.4373036760629322E-5</v>
      </c>
      <c r="E61" s="84">
        <f>IFERROR(E18/$B61,0)</f>
        <v>2.5129876000031377E-2</v>
      </c>
      <c r="F61" s="84">
        <f>IFERROR(F18/$B61,0)</f>
        <v>279373.42690133327</v>
      </c>
      <c r="G61" s="83">
        <f t="shared" si="40"/>
        <v>3.3977711153498923E-3</v>
      </c>
      <c r="H61" s="83">
        <f t="shared" si="41"/>
        <v>3.407493110490999E-5</v>
      </c>
      <c r="I61" s="84">
        <f t="shared" ref="I61:R61" si="54">IFERROR(I18/$B61,0)</f>
        <v>45272.336329167279</v>
      </c>
      <c r="J61" s="84">
        <f t="shared" si="54"/>
        <v>233314.77084314876</v>
      </c>
      <c r="K61" s="84">
        <f t="shared" si="54"/>
        <v>81382.414115526888</v>
      </c>
      <c r="L61" s="84">
        <f t="shared" si="54"/>
        <v>51788.808982608018</v>
      </c>
      <c r="M61" s="84">
        <f t="shared" si="54"/>
        <v>236957.95326661004</v>
      </c>
      <c r="N61" s="84">
        <f t="shared" si="54"/>
        <v>53376.084532088222</v>
      </c>
      <c r="O61" s="84">
        <f t="shared" si="54"/>
        <v>275078.1148240724</v>
      </c>
      <c r="P61" s="84">
        <f t="shared" si="54"/>
        <v>95949.866242206204</v>
      </c>
      <c r="Q61" s="84">
        <f t="shared" si="54"/>
        <v>61059.005790494855</v>
      </c>
      <c r="R61" s="84">
        <f t="shared" si="54"/>
        <v>279373.42690133327</v>
      </c>
    </row>
    <row r="62" spans="1:18">
      <c r="A62" s="65" t="s">
        <v>418</v>
      </c>
      <c r="B62" s="89">
        <v>1.339E-6</v>
      </c>
      <c r="C62" s="84">
        <f>IFERROR(C27/$B62,0)</f>
        <v>0</v>
      </c>
      <c r="D62" s="84">
        <f>IFERROR(D27/$B62,0)</f>
        <v>0</v>
      </c>
      <c r="E62" s="84">
        <f>IFERROR(E27/$B62,0)</f>
        <v>0</v>
      </c>
      <c r="F62" s="84">
        <f>IFERROR(F27/$B62,0)</f>
        <v>31432868.593164008</v>
      </c>
      <c r="G62" s="83">
        <f t="shared" si="40"/>
        <v>31432868.593164004</v>
      </c>
      <c r="H62" s="83">
        <f t="shared" si="41"/>
        <v>31432868.593164004</v>
      </c>
      <c r="I62" s="84">
        <f t="shared" ref="I62:R62" si="55">IFERROR(I27/$B62,0)</f>
        <v>131836513.99459718</v>
      </c>
      <c r="J62" s="84">
        <f t="shared" si="55"/>
        <v>222108806.82833609</v>
      </c>
      <c r="K62" s="84">
        <f t="shared" si="55"/>
        <v>159321864.96873584</v>
      </c>
      <c r="L62" s="84">
        <f t="shared" si="55"/>
        <v>135196665.0259437</v>
      </c>
      <c r="M62" s="84">
        <f t="shared" si="55"/>
        <v>23545219.919973038</v>
      </c>
      <c r="N62" s="84">
        <f t="shared" si="55"/>
        <v>176001746.18278718</v>
      </c>
      <c r="O62" s="84">
        <f t="shared" si="55"/>
        <v>296515257.11582869</v>
      </c>
      <c r="P62" s="84">
        <f t="shared" si="55"/>
        <v>212694689.7332623</v>
      </c>
      <c r="Q62" s="84">
        <f t="shared" si="55"/>
        <v>180487547.80963486</v>
      </c>
      <c r="R62" s="84">
        <f t="shared" si="55"/>
        <v>31432868.593164008</v>
      </c>
    </row>
    <row r="63" spans="1:18">
      <c r="A63" s="82" t="s">
        <v>30</v>
      </c>
      <c r="B63" s="82" t="s">
        <v>6</v>
      </c>
      <c r="C63" s="67">
        <f>IFERROR(1/SUM(1/C66,1/C68,1/C72,1/C73,1/C75),0)</f>
        <v>2.4803006185844744E-3</v>
      </c>
      <c r="D63" s="67">
        <f>IFERROR(1/SUM(1/D64,1/D65,1/D66,1/D68,1/D72,1/D73,1/D75),0)</f>
        <v>1.4782317119652823E-5</v>
      </c>
      <c r="E63" s="67">
        <f t="shared" ref="E63" si="56">IFERROR(1/SUM(1/E64,1/E65,1/E66,1/E68,1/E72,1/E73,1/E75),0)</f>
        <v>1.0807244026675726E-2</v>
      </c>
      <c r="F63" s="67">
        <f>IFERROR(1/SUM(1/F64,1/F65,1/F66,1/F67,1/F68,1/F69,1/F70,1/F71,1/F72,1/F73,1/F74,1/F75,1/F76),0)</f>
        <v>1.5140895816093636</v>
      </c>
      <c r="G63" s="68">
        <f t="shared" ref="G63:R63" si="57">IFERROR(1/SUM(1/G64,1/G65,1/G66,1/G67,1/G68,1/G69,1/G70,1/G71,1/G72,1/G73,1/G74,1/G75,1/G76),0)</f>
        <v>2.0146346049202844E-3</v>
      </c>
      <c r="H63" s="68">
        <f t="shared" si="57"/>
        <v>1.4694595491338992E-5</v>
      </c>
      <c r="I63" s="67">
        <f>IFERROR(1/SUM(1/I64,1/I65,1/I66,1/I67,1/I68,1/I69,1/I70,1/I72,1/I73,1/I75,1/I76),0)</f>
        <v>0.24819412903332669</v>
      </c>
      <c r="J63" s="67">
        <f t="shared" ref="J63:M63" si="58">IFERROR(1/SUM(1/J64,1/J65,1/J66,1/J67,1/J68,1/J69,1/J70,1/J72,1/J73,1/J75,1/J76),0)</f>
        <v>1.3457140606164451</v>
      </c>
      <c r="K63" s="67">
        <f t="shared" si="58"/>
        <v>0.46803581264866312</v>
      </c>
      <c r="L63" s="67">
        <f t="shared" si="58"/>
        <v>0.29286711797758647</v>
      </c>
      <c r="M63" s="67">
        <f t="shared" si="58"/>
        <v>1.2936541489963587</v>
      </c>
      <c r="N63" s="67">
        <f t="shared" si="57"/>
        <v>0.28938814146172626</v>
      </c>
      <c r="O63" s="67">
        <f t="shared" si="57"/>
        <v>1.5726446450560789</v>
      </c>
      <c r="P63" s="67">
        <f t="shared" si="57"/>
        <v>0.5467475876598934</v>
      </c>
      <c r="Q63" s="67">
        <f t="shared" si="57"/>
        <v>0.34182458875362493</v>
      </c>
      <c r="R63" s="67">
        <f t="shared" si="57"/>
        <v>1.5140895816093636</v>
      </c>
    </row>
    <row r="64" spans="1:18">
      <c r="A64" s="65" t="s">
        <v>406</v>
      </c>
      <c r="B64" s="89">
        <v>1</v>
      </c>
      <c r="C64" s="85">
        <f>IFERROR(C25/$B64,0)</f>
        <v>0</v>
      </c>
      <c r="D64" s="85">
        <f>IFERROR(D25/$B64,0)</f>
        <v>9.0870764052985872E-2</v>
      </c>
      <c r="E64" s="85">
        <f>IFERROR(E25/$B64,0)</f>
        <v>66.434951575044778</v>
      </c>
      <c r="F64" s="85">
        <f>IFERROR(F25/$B64,0)</f>
        <v>6924.2553656728296</v>
      </c>
      <c r="G64" s="83">
        <f t="shared" ref="G64:G76" si="59">(IF(AND(C64&lt;&gt;0,E64&lt;&gt;0,F64&lt;&gt;0),1/((1/C64)+(1/E64)+(1/F64)),IF(AND(C64&lt;&gt;0,E64&lt;&gt;0,F64=0), 1/((1/C64)+(1/E64)),IF(AND(C64&lt;&gt;0,E64=0,F64&lt;&gt;0),1/((1/C64)+(1/F64)),IF(AND(C64=0,E64&lt;&gt;0,F64&lt;&gt;0),1/((1/E64)+(1/F64)),IF(AND(C64&lt;&gt;0,E64=0,F64=0),1/(1/C64),IF(AND(C64=0,E64&lt;&gt;0,F64=0),1/(1/E64),IF(AND(C64=0,E64=0,F64&lt;&gt;0),1/(1/F64),IF(AND(C64=0,E64=0,F64=0),0)))))))))</f>
        <v>65.803597217966626</v>
      </c>
      <c r="H64" s="83">
        <f t="shared" ref="H64:H76" si="60">(IF(AND(C64&lt;&gt;0,D64&lt;&gt;0,F64&lt;&gt;0),1/((1/C64)+(1/D64)+(1/F64)),IF(AND(C64&lt;&gt;0,D64&lt;&gt;0,F64=0), 1/((1/C64)+(1/D64)),IF(AND(C64&lt;&gt;0,D64=0,F64&lt;&gt;0),1/((1/C64)+(1/F64)),IF(AND(C64=0,D64&lt;&gt;0,F64&lt;&gt;0),1/((1/D64)+(1/F64)),IF(AND(C64&lt;&gt;0,D64=0,F64=0),1/(1/C64),IF(AND(C64=0,D64&lt;&gt;0,F64=0),1/(1/D64),IF(AND(C64=0,D64=0,F64&lt;&gt;0),1/(1/F64),IF(AND(C64=0,D64=0,F64=0),0)))))))))</f>
        <v>9.0869571522243245E-2</v>
      </c>
      <c r="I64" s="85">
        <f t="shared" ref="I64:R64" si="61">IFERROR(I25/$B64,0)</f>
        <v>1177.3505652227411</v>
      </c>
      <c r="J64" s="85">
        <f t="shared" si="61"/>
        <v>5687.2018828556147</v>
      </c>
      <c r="K64" s="85">
        <f t="shared" si="61"/>
        <v>1994.3233942851782</v>
      </c>
      <c r="L64" s="85">
        <f t="shared" si="61"/>
        <v>1290.5573503403125</v>
      </c>
      <c r="M64" s="85">
        <f t="shared" si="61"/>
        <v>5765.4082978125143</v>
      </c>
      <c r="N64" s="85">
        <f t="shared" si="61"/>
        <v>1413.9980288325123</v>
      </c>
      <c r="O64" s="85">
        <f t="shared" si="61"/>
        <v>6830.329461309595</v>
      </c>
      <c r="P64" s="85">
        <f t="shared" si="61"/>
        <v>2395.1823965364993</v>
      </c>
      <c r="Q64" s="85">
        <f t="shared" si="61"/>
        <v>1549.9593777587156</v>
      </c>
      <c r="R64" s="85">
        <f t="shared" si="61"/>
        <v>6924.2553656728296</v>
      </c>
    </row>
    <row r="65" spans="1:18">
      <c r="A65" s="65" t="s">
        <v>407</v>
      </c>
      <c r="B65" s="89">
        <v>1</v>
      </c>
      <c r="C65" s="85">
        <f>IFERROR(C21/$B65,0)</f>
        <v>0</v>
      </c>
      <c r="D65" s="85">
        <f>IFERROR(D21/$B65,0)</f>
        <v>7.8110696134784427E-2</v>
      </c>
      <c r="E65" s="85">
        <f>IFERROR(E21/$B65,0)</f>
        <v>57.106159162276029</v>
      </c>
      <c r="F65" s="85">
        <f>IFERROR(F21/$B65,0)</f>
        <v>430379782.12703294</v>
      </c>
      <c r="G65" s="83">
        <f t="shared" si="59"/>
        <v>57.10615158498473</v>
      </c>
      <c r="H65" s="83">
        <f t="shared" si="60"/>
        <v>7.811069612060792E-2</v>
      </c>
      <c r="I65" s="85">
        <f t="shared" ref="I65:R65" si="62">IFERROR(I21/$B65,0)</f>
        <v>277236395.43151021</v>
      </c>
      <c r="J65" s="85">
        <f t="shared" si="62"/>
        <v>590322324.75502598</v>
      </c>
      <c r="K65" s="85">
        <f t="shared" si="62"/>
        <v>315564007.70314747</v>
      </c>
      <c r="L65" s="85">
        <f t="shared" si="62"/>
        <v>277236395.43151021</v>
      </c>
      <c r="M65" s="85">
        <f t="shared" si="62"/>
        <v>329092441.7284025</v>
      </c>
      <c r="N65" s="85">
        <f t="shared" si="62"/>
        <v>362563597.13654166</v>
      </c>
      <c r="O65" s="85">
        <f t="shared" si="62"/>
        <v>772010418.04073954</v>
      </c>
      <c r="P65" s="85">
        <f t="shared" si="62"/>
        <v>412687596.74067187</v>
      </c>
      <c r="Q65" s="85">
        <f t="shared" si="62"/>
        <v>362563597.13654166</v>
      </c>
      <c r="R65" s="85">
        <f t="shared" si="62"/>
        <v>430379782.12703294</v>
      </c>
    </row>
    <row r="66" spans="1:18">
      <c r="A66" s="65" t="s">
        <v>408</v>
      </c>
      <c r="B66" s="89">
        <v>0.99980000000000002</v>
      </c>
      <c r="C66" s="85">
        <f>IFERROR(C17/$B66,0)</f>
        <v>34.558470992780641</v>
      </c>
      <c r="D66" s="85">
        <f>IFERROR(D17/$B66,0)</f>
        <v>1.2775162426198921E-2</v>
      </c>
      <c r="E66" s="85">
        <f>IFERROR(E17/$B66,0)</f>
        <v>9.339827897264934</v>
      </c>
      <c r="F66" s="85">
        <f>IFERROR(F17/$B66,0)</f>
        <v>10.602215076884892</v>
      </c>
      <c r="G66" s="83">
        <f t="shared" si="59"/>
        <v>4.3416961388125497</v>
      </c>
      <c r="H66" s="83">
        <f t="shared" si="60"/>
        <v>1.2755078022059428E-2</v>
      </c>
      <c r="I66" s="85">
        <f t="shared" ref="I66:R66" si="63">IFERROR(I17/$B66,0)</f>
        <v>1.9196005840082278</v>
      </c>
      <c r="J66" s="85">
        <f t="shared" si="63"/>
        <v>8.6126079535835824</v>
      </c>
      <c r="K66" s="85">
        <f t="shared" si="63"/>
        <v>3.0541162955970145</v>
      </c>
      <c r="L66" s="85">
        <f t="shared" si="63"/>
        <v>2.0538810700119829</v>
      </c>
      <c r="M66" s="85">
        <f t="shared" si="63"/>
        <v>8.4953646449398175</v>
      </c>
      <c r="N66" s="85">
        <f t="shared" si="63"/>
        <v>2.3956615288422682</v>
      </c>
      <c r="O66" s="85">
        <f t="shared" si="63"/>
        <v>10.748534726072307</v>
      </c>
      <c r="P66" s="85">
        <f t="shared" si="63"/>
        <v>3.8115371369050743</v>
      </c>
      <c r="Q66" s="85">
        <f t="shared" si="63"/>
        <v>2.5632435753749552</v>
      </c>
      <c r="R66" s="85">
        <f t="shared" si="63"/>
        <v>10.602215076884892</v>
      </c>
    </row>
    <row r="67" spans="1:18">
      <c r="A67" s="65" t="s">
        <v>409</v>
      </c>
      <c r="B67" s="89">
        <v>2.0000000000000001E-4</v>
      </c>
      <c r="C67" s="85">
        <f>IFERROR(C5/$B67,0)</f>
        <v>0</v>
      </c>
      <c r="D67" s="85">
        <f>IFERROR(D5/$B67,0)</f>
        <v>0</v>
      </c>
      <c r="E67" s="85">
        <f>IFERROR(E5/$B67,0)</f>
        <v>0</v>
      </c>
      <c r="F67" s="85">
        <f>IFERROR(F5/$B67,0)</f>
        <v>114481022.04579076</v>
      </c>
      <c r="G67" s="83">
        <f t="shared" si="59"/>
        <v>114481022.04579076</v>
      </c>
      <c r="H67" s="83">
        <f t="shared" si="60"/>
        <v>114481022.04579076</v>
      </c>
      <c r="I67" s="85">
        <f t="shared" ref="I67:R67" si="64">IFERROR(I5/$B67,0)</f>
        <v>180911511.84811383</v>
      </c>
      <c r="J67" s="85">
        <f t="shared" si="64"/>
        <v>319003730.95111197</v>
      </c>
      <c r="K67" s="85">
        <f t="shared" si="64"/>
        <v>227475234.30691111</v>
      </c>
      <c r="L67" s="85">
        <f t="shared" si="64"/>
        <v>188502204.65292981</v>
      </c>
      <c r="M67" s="85">
        <f t="shared" si="64"/>
        <v>68918341.030910835</v>
      </c>
      <c r="N67" s="85">
        <f t="shared" si="64"/>
        <v>300514122.45881128</v>
      </c>
      <c r="O67" s="85">
        <f t="shared" si="64"/>
        <v>529900641.9687916</v>
      </c>
      <c r="P67" s="85">
        <f t="shared" si="64"/>
        <v>377861639.20981342</v>
      </c>
      <c r="Q67" s="85">
        <f t="shared" si="64"/>
        <v>313123106.61792231</v>
      </c>
      <c r="R67" s="85">
        <f t="shared" si="64"/>
        <v>114481022.04579076</v>
      </c>
    </row>
    <row r="68" spans="1:18">
      <c r="A68" s="65" t="s">
        <v>410</v>
      </c>
      <c r="B68" s="89">
        <v>0.99999979999999999</v>
      </c>
      <c r="C68" s="85">
        <f>IFERROR(C9/$B68,0)</f>
        <v>46.146051513893767</v>
      </c>
      <c r="D68" s="85">
        <f>IFERROR(D9/$B68,0)</f>
        <v>1.6262394087097874E-2</v>
      </c>
      <c r="E68" s="85">
        <f>IFERROR(E9/$B68,0)</f>
        <v>11.889317482140635</v>
      </c>
      <c r="F68" s="85">
        <f>IFERROR(F9/$B68,0)</f>
        <v>1.8139602191514046</v>
      </c>
      <c r="G68" s="83">
        <f t="shared" si="59"/>
        <v>1.5219323010375301</v>
      </c>
      <c r="H68" s="83">
        <f t="shared" si="60"/>
        <v>1.6112267325836146E-2</v>
      </c>
      <c r="I68" s="85">
        <f t="shared" ref="I68:R68" si="65">IFERROR(I9/$B68,0)</f>
        <v>0.28540586854711519</v>
      </c>
      <c r="J68" s="85">
        <f t="shared" si="65"/>
        <v>1.6004985059580201</v>
      </c>
      <c r="K68" s="85">
        <f t="shared" si="65"/>
        <v>0.55382329253785445</v>
      </c>
      <c r="L68" s="85">
        <f t="shared" si="65"/>
        <v>0.34206732774396897</v>
      </c>
      <c r="M68" s="85">
        <f t="shared" si="65"/>
        <v>1.5705283282696145</v>
      </c>
      <c r="N68" s="85">
        <f t="shared" si="65"/>
        <v>0.32964377817191803</v>
      </c>
      <c r="O68" s="85">
        <f t="shared" si="65"/>
        <v>1.848575774381513</v>
      </c>
      <c r="P68" s="85">
        <f t="shared" si="65"/>
        <v>0.63966590288122183</v>
      </c>
      <c r="Q68" s="85">
        <f t="shared" si="65"/>
        <v>0.39508776354428415</v>
      </c>
      <c r="R68" s="85">
        <f t="shared" si="65"/>
        <v>1.8139602191514046</v>
      </c>
    </row>
    <row r="69" spans="1:18">
      <c r="A69" s="65" t="s">
        <v>411</v>
      </c>
      <c r="B69" s="89">
        <v>1.9999999999999999E-7</v>
      </c>
      <c r="C69" s="85">
        <f>IFERROR(C24/$B69,0)</f>
        <v>0</v>
      </c>
      <c r="D69" s="85">
        <f>IFERROR(D24/$B69,0)</f>
        <v>0</v>
      </c>
      <c r="E69" s="85">
        <f>IFERROR(E24/$B69,0)</f>
        <v>0</v>
      </c>
      <c r="F69" s="85">
        <f>IFERROR(F24/$B69,0)</f>
        <v>17788832845.513065</v>
      </c>
      <c r="G69" s="83">
        <f t="shared" si="59"/>
        <v>17788832845.513065</v>
      </c>
      <c r="H69" s="83">
        <f t="shared" si="60"/>
        <v>17788832845.513065</v>
      </c>
      <c r="I69" s="85">
        <f t="shared" ref="I69:R69" si="66">IFERROR(I24/$B69,0)</f>
        <v>2963114058.7437391</v>
      </c>
      <c r="J69" s="85">
        <f t="shared" si="66"/>
        <v>14718736500.949295</v>
      </c>
      <c r="K69" s="85">
        <f t="shared" si="66"/>
        <v>5157175613.6913939</v>
      </c>
      <c r="L69" s="85">
        <f t="shared" si="66"/>
        <v>3311715712.7135916</v>
      </c>
      <c r="M69" s="85">
        <f t="shared" si="66"/>
        <v>14911008252.735176</v>
      </c>
      <c r="N69" s="85">
        <f t="shared" si="66"/>
        <v>3534995072.0812812</v>
      </c>
      <c r="O69" s="85">
        <f t="shared" si="66"/>
        <v>17559452645.632511</v>
      </c>
      <c r="P69" s="85">
        <f t="shared" si="66"/>
        <v>6152510507.1338329</v>
      </c>
      <c r="Q69" s="85">
        <f t="shared" si="66"/>
        <v>3950876845.2673144</v>
      </c>
      <c r="R69" s="85">
        <f t="shared" si="66"/>
        <v>17788832845.513065</v>
      </c>
    </row>
    <row r="70" spans="1:18">
      <c r="A70" s="65" t="s">
        <v>412</v>
      </c>
      <c r="B70" s="89">
        <v>0.99979000004200003</v>
      </c>
      <c r="C70" s="85">
        <f>IFERROR(C20/$B70,0)</f>
        <v>0</v>
      </c>
      <c r="D70" s="85">
        <f>IFERROR(D20/$B70,0)</f>
        <v>0</v>
      </c>
      <c r="E70" s="85">
        <f>IFERROR(E20/$B70,0)</f>
        <v>0</v>
      </c>
      <c r="F70" s="85">
        <f>IFERROR(F20/$B70,0)</f>
        <v>32736.518835691011</v>
      </c>
      <c r="G70" s="83">
        <f t="shared" si="59"/>
        <v>32736.518835691011</v>
      </c>
      <c r="H70" s="83">
        <f t="shared" si="60"/>
        <v>32736.518835691011</v>
      </c>
      <c r="I70" s="85">
        <f t="shared" ref="I70:R70" si="67">IFERROR(I20/$B70,0)</f>
        <v>5321.0573328703149</v>
      </c>
      <c r="J70" s="85">
        <f t="shared" si="67"/>
        <v>27350.234690953424</v>
      </c>
      <c r="K70" s="85">
        <f t="shared" si="67"/>
        <v>9563.0191227109863</v>
      </c>
      <c r="L70" s="85">
        <f t="shared" si="67"/>
        <v>6050.9368785295183</v>
      </c>
      <c r="M70" s="85">
        <f t="shared" si="67"/>
        <v>27766.343372087369</v>
      </c>
      <c r="N70" s="85">
        <f t="shared" si="67"/>
        <v>6273.5265954541019</v>
      </c>
      <c r="O70" s="85">
        <f t="shared" si="67"/>
        <v>32245.926700634089</v>
      </c>
      <c r="P70" s="85">
        <f t="shared" si="67"/>
        <v>11274.799545676256</v>
      </c>
      <c r="Q70" s="85">
        <f t="shared" si="67"/>
        <v>7134.0545797863024</v>
      </c>
      <c r="R70" s="85">
        <f t="shared" si="67"/>
        <v>32736.518835691011</v>
      </c>
    </row>
    <row r="71" spans="1:18">
      <c r="A71" s="65" t="s">
        <v>413</v>
      </c>
      <c r="B71" s="89">
        <v>2.0999995799999999E-4</v>
      </c>
      <c r="C71" s="85">
        <f>IFERROR(C29/$B71,0)</f>
        <v>0</v>
      </c>
      <c r="D71" s="85">
        <f>IFERROR(D29/$B71,0)</f>
        <v>0</v>
      </c>
      <c r="E71" s="85">
        <f>IFERROR(E29/$B71,0)</f>
        <v>0</v>
      </c>
      <c r="F71" s="85">
        <f>IFERROR(F29/$B71,0)</f>
        <v>4646.1463044642769</v>
      </c>
      <c r="G71" s="83">
        <f t="shared" si="59"/>
        <v>4646.1463044642769</v>
      </c>
      <c r="H71" s="83">
        <f t="shared" si="60"/>
        <v>4646.1463044642769</v>
      </c>
      <c r="I71" s="85">
        <f t="shared" ref="I71:R71" si="68">IFERROR(I29/$B71,0)</f>
        <v>0</v>
      </c>
      <c r="J71" s="85">
        <f t="shared" si="68"/>
        <v>0</v>
      </c>
      <c r="K71" s="85">
        <f t="shared" si="68"/>
        <v>0</v>
      </c>
      <c r="L71" s="85">
        <f t="shared" si="68"/>
        <v>0</v>
      </c>
      <c r="M71" s="85">
        <f t="shared" si="68"/>
        <v>0</v>
      </c>
      <c r="N71" s="85">
        <f t="shared" si="68"/>
        <v>854.78739805953944</v>
      </c>
      <c r="O71" s="85">
        <f t="shared" si="68"/>
        <v>4680.4822162040628</v>
      </c>
      <c r="P71" s="85">
        <f t="shared" si="68"/>
        <v>1629.7220455572533</v>
      </c>
      <c r="Q71" s="85">
        <f t="shared" si="68"/>
        <v>1014.001431251607</v>
      </c>
      <c r="R71" s="85">
        <f t="shared" si="68"/>
        <v>4646.1463044642769</v>
      </c>
    </row>
    <row r="72" spans="1:18">
      <c r="A72" s="65" t="s">
        <v>414</v>
      </c>
      <c r="B72" s="89">
        <v>1</v>
      </c>
      <c r="C72" s="85">
        <f>IFERROR(C16/$B72,0)</f>
        <v>6.7409414709978781E-3</v>
      </c>
      <c r="D72" s="85">
        <f>IFERROR(D16/$B72,0)</f>
        <v>2.6677580769443654E-5</v>
      </c>
      <c r="E72" s="85">
        <f>IFERROR(E16/$B72,0)</f>
        <v>1.9503784358233307E-2</v>
      </c>
      <c r="F72" s="85">
        <f>IFERROR(F16/$B72,0)</f>
        <v>1187.0152055439135</v>
      </c>
      <c r="G72" s="83">
        <f t="shared" si="59"/>
        <v>5.0095137142323947E-3</v>
      </c>
      <c r="H72" s="83">
        <f t="shared" si="60"/>
        <v>2.6572418623647641E-5</v>
      </c>
      <c r="I72" s="85">
        <f t="shared" ref="I72:R72" si="69">IFERROR(I16/$B72,0)</f>
        <v>960.13875492534567</v>
      </c>
      <c r="J72" s="85">
        <f t="shared" si="69"/>
        <v>1510.3306257252623</v>
      </c>
      <c r="K72" s="85">
        <f t="shared" si="69"/>
        <v>977.5958231967154</v>
      </c>
      <c r="L72" s="85">
        <f t="shared" si="69"/>
        <v>960.13875492534567</v>
      </c>
      <c r="M72" s="85">
        <f t="shared" si="69"/>
        <v>791.87138461902168</v>
      </c>
      <c r="N72" s="85">
        <f t="shared" si="69"/>
        <v>1439.2479936330931</v>
      </c>
      <c r="O72" s="85">
        <f t="shared" si="69"/>
        <v>2263.9856079621686</v>
      </c>
      <c r="P72" s="85">
        <f t="shared" si="69"/>
        <v>1465.4161389718768</v>
      </c>
      <c r="Q72" s="85">
        <f t="shared" si="69"/>
        <v>1439.2479936330931</v>
      </c>
      <c r="R72" s="85">
        <f t="shared" si="69"/>
        <v>1187.0152055439135</v>
      </c>
    </row>
    <row r="73" spans="1:18">
      <c r="A73" s="65" t="s">
        <v>415</v>
      </c>
      <c r="B73" s="89">
        <v>1</v>
      </c>
      <c r="C73" s="85">
        <f>IFERROR(C7/$B73,0)</f>
        <v>3.8198668335654644</v>
      </c>
      <c r="D73" s="85">
        <f>IFERROR(D7/$B73,0)</f>
        <v>1.1018206304092141E-3</v>
      </c>
      <c r="E73" s="85">
        <f>IFERROR(E7/$B73,0)</f>
        <v>0.80553301150785528</v>
      </c>
      <c r="F73" s="85">
        <f>IFERROR(F7/$B73,0)</f>
        <v>73.385270542173572</v>
      </c>
      <c r="G73" s="83">
        <f t="shared" si="59"/>
        <v>0.65926966293875788</v>
      </c>
      <c r="H73" s="83">
        <f t="shared" si="60"/>
        <v>1.1014863744902093E-3</v>
      </c>
      <c r="I73" s="85">
        <f t="shared" ref="I73:R73" si="70">IFERROR(I7/$B73,0)</f>
        <v>438.72107627443762</v>
      </c>
      <c r="J73" s="85">
        <f t="shared" si="70"/>
        <v>765.15044850244158</v>
      </c>
      <c r="K73" s="85">
        <f t="shared" si="70"/>
        <v>528.99290266835476</v>
      </c>
      <c r="L73" s="85">
        <f t="shared" si="70"/>
        <v>447.89294546484399</v>
      </c>
      <c r="M73" s="85">
        <f t="shared" si="70"/>
        <v>58.520949395672702</v>
      </c>
      <c r="N73" s="85">
        <f t="shared" si="70"/>
        <v>550.15622964814474</v>
      </c>
      <c r="O73" s="85">
        <f t="shared" si="70"/>
        <v>959.49866242206213</v>
      </c>
      <c r="P73" s="85">
        <f t="shared" si="70"/>
        <v>663.35709994611682</v>
      </c>
      <c r="Q73" s="85">
        <f t="shared" si="70"/>
        <v>561.65775361291435</v>
      </c>
      <c r="R73" s="85">
        <f t="shared" si="70"/>
        <v>73.385270542173572</v>
      </c>
    </row>
    <row r="74" spans="1:18">
      <c r="A74" s="65" t="s">
        <v>416</v>
      </c>
      <c r="B74" s="91">
        <v>1.9000000000000001E-8</v>
      </c>
      <c r="C74" s="85">
        <f>IFERROR(C12/$B74,0)</f>
        <v>0</v>
      </c>
      <c r="D74" s="85">
        <f>IFERROR(D12/$B74,0)</f>
        <v>0</v>
      </c>
      <c r="E74" s="85">
        <f>IFERROR(E12/$B74,0)</f>
        <v>0</v>
      </c>
      <c r="F74" s="85">
        <f>IFERROR(F12/$B74,0)</f>
        <v>909863297.78533816</v>
      </c>
      <c r="G74" s="83">
        <f t="shared" si="59"/>
        <v>909863297.78533816</v>
      </c>
      <c r="H74" s="83">
        <f t="shared" si="60"/>
        <v>909863297.78533816</v>
      </c>
      <c r="I74" s="85">
        <f t="shared" ref="I74:R74" si="71">IFERROR(I12/$B74,0)</f>
        <v>0</v>
      </c>
      <c r="J74" s="85">
        <f t="shared" si="71"/>
        <v>0</v>
      </c>
      <c r="K74" s="85">
        <f t="shared" si="71"/>
        <v>0</v>
      </c>
      <c r="L74" s="85">
        <f t="shared" si="71"/>
        <v>0</v>
      </c>
      <c r="M74" s="85">
        <f t="shared" si="71"/>
        <v>0</v>
      </c>
      <c r="N74" s="85">
        <f t="shared" si="71"/>
        <v>258658176.00594738</v>
      </c>
      <c r="O74" s="85">
        <f t="shared" si="71"/>
        <v>1143394632.4791205</v>
      </c>
      <c r="P74" s="85">
        <f t="shared" si="71"/>
        <v>409854501.1108731</v>
      </c>
      <c r="Q74" s="85">
        <f t="shared" si="71"/>
        <v>276351406.28648448</v>
      </c>
      <c r="R74" s="85">
        <f t="shared" si="71"/>
        <v>909863297.78533816</v>
      </c>
    </row>
    <row r="75" spans="1:18">
      <c r="A75" s="65" t="s">
        <v>417</v>
      </c>
      <c r="B75" s="89">
        <v>1</v>
      </c>
      <c r="C75" s="85">
        <f>IFERROR(C18/$B75,0)</f>
        <v>3.9290058859530489E-3</v>
      </c>
      <c r="D75" s="85">
        <f>IFERROR(D18/$B75,0)</f>
        <v>3.4373036760629322E-5</v>
      </c>
      <c r="E75" s="85">
        <f>IFERROR(E18/$B75,0)</f>
        <v>2.5129876000031377E-2</v>
      </c>
      <c r="F75" s="85">
        <f>IFERROR(F18/$B75,0)</f>
        <v>279373.42690133327</v>
      </c>
      <c r="G75" s="83">
        <f t="shared" si="59"/>
        <v>3.3977711153498923E-3</v>
      </c>
      <c r="H75" s="83">
        <f t="shared" si="60"/>
        <v>3.407493110490999E-5</v>
      </c>
      <c r="I75" s="85">
        <f t="shared" ref="I75:R75" si="72">IFERROR(I18/$B75,0)</f>
        <v>45272.336329167279</v>
      </c>
      <c r="J75" s="85">
        <f t="shared" si="72"/>
        <v>233314.77084314876</v>
      </c>
      <c r="K75" s="85">
        <f t="shared" si="72"/>
        <v>81382.414115526888</v>
      </c>
      <c r="L75" s="85">
        <f t="shared" si="72"/>
        <v>51788.808982608018</v>
      </c>
      <c r="M75" s="85">
        <f t="shared" si="72"/>
        <v>236957.95326661004</v>
      </c>
      <c r="N75" s="85">
        <f t="shared" si="72"/>
        <v>53376.084532088222</v>
      </c>
      <c r="O75" s="85">
        <f t="shared" si="72"/>
        <v>275078.1148240724</v>
      </c>
      <c r="P75" s="85">
        <f t="shared" si="72"/>
        <v>95949.866242206204</v>
      </c>
      <c r="Q75" s="85">
        <f t="shared" si="72"/>
        <v>61059.005790494855</v>
      </c>
      <c r="R75" s="85">
        <f t="shared" si="72"/>
        <v>279373.42690133327</v>
      </c>
    </row>
    <row r="76" spans="1:18">
      <c r="A76" s="65" t="s">
        <v>418</v>
      </c>
      <c r="B76" s="89">
        <v>1.339E-6</v>
      </c>
      <c r="C76" s="85">
        <f>IFERROR(C27/$B76,0)</f>
        <v>0</v>
      </c>
      <c r="D76" s="85">
        <f>IFERROR(D27/$B76,0)</f>
        <v>0</v>
      </c>
      <c r="E76" s="85">
        <f>IFERROR(E27/$B76,0)</f>
        <v>0</v>
      </c>
      <c r="F76" s="85">
        <f>IFERROR(F27/$B76,0)</f>
        <v>31432868.593164008</v>
      </c>
      <c r="G76" s="83">
        <f t="shared" si="59"/>
        <v>31432868.593164004</v>
      </c>
      <c r="H76" s="83">
        <f t="shared" si="60"/>
        <v>31432868.593164004</v>
      </c>
      <c r="I76" s="85">
        <f t="shared" ref="I76:R76" si="73">IFERROR(I27/$B76,0)</f>
        <v>131836513.99459718</v>
      </c>
      <c r="J76" s="85">
        <f t="shared" si="73"/>
        <v>222108806.82833609</v>
      </c>
      <c r="K76" s="85">
        <f t="shared" si="73"/>
        <v>159321864.96873584</v>
      </c>
      <c r="L76" s="85">
        <f t="shared" si="73"/>
        <v>135196665.0259437</v>
      </c>
      <c r="M76" s="85">
        <f t="shared" si="73"/>
        <v>23545219.919973038</v>
      </c>
      <c r="N76" s="85">
        <f t="shared" si="73"/>
        <v>176001746.18278718</v>
      </c>
      <c r="O76" s="85">
        <f t="shared" si="73"/>
        <v>296515257.11582869</v>
      </c>
      <c r="P76" s="85">
        <f t="shared" si="73"/>
        <v>212694689.7332623</v>
      </c>
      <c r="Q76" s="85">
        <f t="shared" si="73"/>
        <v>180487547.80963486</v>
      </c>
      <c r="R76" s="85">
        <f t="shared" si="73"/>
        <v>31432868.593164008</v>
      </c>
    </row>
  </sheetData>
  <sheetProtection algorithmName="SHA-512" hashValue="ME3ueIq73pBN8jtxmuR8mBRQPVMYoX+AoRdtfst2oLp77ZmI0nZxaKm7lnf6ZzvzrxdzuzpCTVY1YDVLLMGiWw==" saltValue="RfzzwuLWFB9UB9hy85ohvw==" spinCount="100000" sheet="1" objects="1" scenarios="1"/>
  <autoFilter ref="A1:R76" xr:uid="{00000000-0009-0000-0000-000005000000}"/>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sheetPr>
  <dimension ref="A1:R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4.73046875" style="4" bestFit="1" customWidth="1"/>
    <col min="4" max="4" width="17.73046875" style="4" bestFit="1" customWidth="1"/>
    <col min="5" max="5" width="17.59765625" style="4" bestFit="1" customWidth="1"/>
    <col min="6" max="6" width="14.86328125" style="4" bestFit="1" customWidth="1"/>
    <col min="7" max="7" width="16.265625" style="4" bestFit="1" customWidth="1"/>
    <col min="8" max="8" width="16.3984375" style="4" bestFit="1" customWidth="1"/>
    <col min="9" max="9" width="12.265625" style="4" bestFit="1" customWidth="1"/>
    <col min="10" max="11" width="14" style="4" bestFit="1" customWidth="1"/>
    <col min="12" max="12" width="15" style="4" bestFit="1" customWidth="1"/>
    <col min="13" max="13" width="12.59765625" style="4" bestFit="1" customWidth="1"/>
    <col min="14" max="14" width="12.265625" style="4" bestFit="1" customWidth="1"/>
    <col min="15" max="16" width="14" style="4" bestFit="1" customWidth="1"/>
    <col min="17" max="17" width="15" style="4" bestFit="1" customWidth="1"/>
    <col min="18" max="18" width="12.59765625" style="4" bestFit="1" customWidth="1"/>
    <col min="19" max="250" width="9.1328125" style="4"/>
    <col min="251" max="251" width="15.3984375" style="4" bestFit="1" customWidth="1"/>
    <col min="252" max="252" width="11.1328125" style="4" bestFit="1" customWidth="1"/>
    <col min="253" max="253" width="14.59765625" style="4" bestFit="1" customWidth="1"/>
    <col min="254" max="254" width="17.3984375" style="4" bestFit="1" customWidth="1"/>
    <col min="255" max="255" width="17.59765625" style="4" bestFit="1" customWidth="1"/>
    <col min="256" max="256" width="14.73046875" style="4" bestFit="1" customWidth="1"/>
    <col min="257" max="257" width="14.3984375" style="4" bestFit="1" customWidth="1"/>
    <col min="258" max="258" width="12.1328125" style="4" bestFit="1" customWidth="1"/>
    <col min="259" max="259" width="12.3984375" style="4" bestFit="1" customWidth="1"/>
    <col min="260" max="261" width="13.86328125" style="4" bestFit="1" customWidth="1"/>
    <col min="262" max="262" width="14.86328125" style="4" bestFit="1" customWidth="1"/>
    <col min="263" max="263" width="12.1328125" style="4" bestFit="1" customWidth="1"/>
    <col min="264" max="264" width="12.3984375" style="4" bestFit="1" customWidth="1"/>
    <col min="265" max="266" width="13.86328125" style="4" bestFit="1" customWidth="1"/>
    <col min="267" max="267" width="14.86328125" style="4" bestFit="1" customWidth="1"/>
    <col min="268" max="506" width="9.1328125" style="4"/>
    <col min="507" max="507" width="15.3984375" style="4" bestFit="1" customWidth="1"/>
    <col min="508" max="508" width="11.1328125" style="4" bestFit="1" customWidth="1"/>
    <col min="509" max="509" width="14.59765625" style="4" bestFit="1" customWidth="1"/>
    <col min="510" max="510" width="17.3984375" style="4" bestFit="1" customWidth="1"/>
    <col min="511" max="511" width="17.59765625" style="4" bestFit="1" customWidth="1"/>
    <col min="512" max="512" width="14.73046875" style="4" bestFit="1" customWidth="1"/>
    <col min="513" max="513" width="14.3984375" style="4" bestFit="1" customWidth="1"/>
    <col min="514" max="514" width="12.1328125" style="4" bestFit="1" customWidth="1"/>
    <col min="515" max="515" width="12.3984375" style="4" bestFit="1" customWidth="1"/>
    <col min="516" max="517" width="13.86328125" style="4" bestFit="1" customWidth="1"/>
    <col min="518" max="518" width="14.86328125" style="4" bestFit="1" customWidth="1"/>
    <col min="519" max="519" width="12.1328125" style="4" bestFit="1" customWidth="1"/>
    <col min="520" max="520" width="12.3984375" style="4" bestFit="1" customWidth="1"/>
    <col min="521" max="522" width="13.86328125" style="4" bestFit="1" customWidth="1"/>
    <col min="523" max="523" width="14.86328125" style="4" bestFit="1" customWidth="1"/>
    <col min="524" max="762" width="9.1328125" style="4"/>
    <col min="763" max="763" width="15.3984375" style="4" bestFit="1" customWidth="1"/>
    <col min="764" max="764" width="11.1328125" style="4" bestFit="1" customWidth="1"/>
    <col min="765" max="765" width="14.59765625" style="4" bestFit="1" customWidth="1"/>
    <col min="766" max="766" width="17.3984375" style="4" bestFit="1" customWidth="1"/>
    <col min="767" max="767" width="17.59765625" style="4" bestFit="1" customWidth="1"/>
    <col min="768" max="768" width="14.73046875" style="4" bestFit="1" customWidth="1"/>
    <col min="769" max="769" width="14.3984375" style="4" bestFit="1" customWidth="1"/>
    <col min="770" max="770" width="12.1328125" style="4" bestFit="1" customWidth="1"/>
    <col min="771" max="771" width="12.3984375" style="4" bestFit="1" customWidth="1"/>
    <col min="772" max="773" width="13.86328125" style="4" bestFit="1" customWidth="1"/>
    <col min="774" max="774" width="14.86328125" style="4" bestFit="1" customWidth="1"/>
    <col min="775" max="775" width="12.1328125" style="4" bestFit="1" customWidth="1"/>
    <col min="776" max="776" width="12.3984375" style="4" bestFit="1" customWidth="1"/>
    <col min="777" max="778" width="13.86328125" style="4" bestFit="1" customWidth="1"/>
    <col min="779" max="779" width="14.86328125" style="4" bestFit="1" customWidth="1"/>
    <col min="780" max="1018" width="9.1328125" style="4"/>
    <col min="1019" max="1019" width="15.3984375" style="4" bestFit="1" customWidth="1"/>
    <col min="1020" max="1020" width="11.1328125" style="4" bestFit="1" customWidth="1"/>
    <col min="1021" max="1021" width="14.59765625" style="4" bestFit="1" customWidth="1"/>
    <col min="1022" max="1022" width="17.3984375" style="4" bestFit="1" customWidth="1"/>
    <col min="1023" max="1023" width="17.59765625" style="4" bestFit="1" customWidth="1"/>
    <col min="1024" max="1024" width="14.73046875" style="4" bestFit="1" customWidth="1"/>
    <col min="1025" max="1025" width="14.3984375" style="4" bestFit="1" customWidth="1"/>
    <col min="1026" max="1026" width="12.1328125" style="4" bestFit="1" customWidth="1"/>
    <col min="1027" max="1027" width="12.3984375" style="4" bestFit="1" customWidth="1"/>
    <col min="1028" max="1029" width="13.86328125" style="4" bestFit="1" customWidth="1"/>
    <col min="1030" max="1030" width="14.86328125" style="4" bestFit="1" customWidth="1"/>
    <col min="1031" max="1031" width="12.1328125" style="4" bestFit="1" customWidth="1"/>
    <col min="1032" max="1032" width="12.3984375" style="4" bestFit="1" customWidth="1"/>
    <col min="1033" max="1034" width="13.86328125" style="4" bestFit="1" customWidth="1"/>
    <col min="1035" max="1035" width="14.86328125" style="4" bestFit="1" customWidth="1"/>
    <col min="1036" max="1274" width="9.1328125" style="4"/>
    <col min="1275" max="1275" width="15.3984375" style="4" bestFit="1" customWidth="1"/>
    <col min="1276" max="1276" width="11.1328125" style="4" bestFit="1" customWidth="1"/>
    <col min="1277" max="1277" width="14.59765625" style="4" bestFit="1" customWidth="1"/>
    <col min="1278" max="1278" width="17.3984375" style="4" bestFit="1" customWidth="1"/>
    <col min="1279" max="1279" width="17.59765625" style="4" bestFit="1" customWidth="1"/>
    <col min="1280" max="1280" width="14.73046875" style="4" bestFit="1" customWidth="1"/>
    <col min="1281" max="1281" width="14.3984375" style="4" bestFit="1" customWidth="1"/>
    <col min="1282" max="1282" width="12.1328125" style="4" bestFit="1" customWidth="1"/>
    <col min="1283" max="1283" width="12.3984375" style="4" bestFit="1" customWidth="1"/>
    <col min="1284" max="1285" width="13.86328125" style="4" bestFit="1" customWidth="1"/>
    <col min="1286" max="1286" width="14.86328125" style="4" bestFit="1" customWidth="1"/>
    <col min="1287" max="1287" width="12.1328125" style="4" bestFit="1" customWidth="1"/>
    <col min="1288" max="1288" width="12.3984375" style="4" bestFit="1" customWidth="1"/>
    <col min="1289" max="1290" width="13.86328125" style="4" bestFit="1" customWidth="1"/>
    <col min="1291" max="1291" width="14.86328125" style="4" bestFit="1" customWidth="1"/>
    <col min="1292" max="1530" width="9.1328125" style="4"/>
    <col min="1531" max="1531" width="15.3984375" style="4" bestFit="1" customWidth="1"/>
    <col min="1532" max="1532" width="11.1328125" style="4" bestFit="1" customWidth="1"/>
    <col min="1533" max="1533" width="14.59765625" style="4" bestFit="1" customWidth="1"/>
    <col min="1534" max="1534" width="17.3984375" style="4" bestFit="1" customWidth="1"/>
    <col min="1535" max="1535" width="17.59765625" style="4" bestFit="1" customWidth="1"/>
    <col min="1536" max="1536" width="14.73046875" style="4" bestFit="1" customWidth="1"/>
    <col min="1537" max="1537" width="14.3984375" style="4" bestFit="1" customWidth="1"/>
    <col min="1538" max="1538" width="12.1328125" style="4" bestFit="1" customWidth="1"/>
    <col min="1539" max="1539" width="12.3984375" style="4" bestFit="1" customWidth="1"/>
    <col min="1540" max="1541" width="13.86328125" style="4" bestFit="1" customWidth="1"/>
    <col min="1542" max="1542" width="14.86328125" style="4" bestFit="1" customWidth="1"/>
    <col min="1543" max="1543" width="12.1328125" style="4" bestFit="1" customWidth="1"/>
    <col min="1544" max="1544" width="12.3984375" style="4" bestFit="1" customWidth="1"/>
    <col min="1545" max="1546" width="13.86328125" style="4" bestFit="1" customWidth="1"/>
    <col min="1547" max="1547" width="14.86328125" style="4" bestFit="1" customWidth="1"/>
    <col min="1548" max="1786" width="9.1328125" style="4"/>
    <col min="1787" max="1787" width="15.3984375" style="4" bestFit="1" customWidth="1"/>
    <col min="1788" max="1788" width="11.1328125" style="4" bestFit="1" customWidth="1"/>
    <col min="1789" max="1789" width="14.59765625" style="4" bestFit="1" customWidth="1"/>
    <col min="1790" max="1790" width="17.3984375" style="4" bestFit="1" customWidth="1"/>
    <col min="1791" max="1791" width="17.59765625" style="4" bestFit="1" customWidth="1"/>
    <col min="1792" max="1792" width="14.73046875" style="4" bestFit="1" customWidth="1"/>
    <col min="1793" max="1793" width="14.3984375" style="4" bestFit="1" customWidth="1"/>
    <col min="1794" max="1794" width="12.1328125" style="4" bestFit="1" customWidth="1"/>
    <col min="1795" max="1795" width="12.3984375" style="4" bestFit="1" customWidth="1"/>
    <col min="1796" max="1797" width="13.86328125" style="4" bestFit="1" customWidth="1"/>
    <col min="1798" max="1798" width="14.86328125" style="4" bestFit="1" customWidth="1"/>
    <col min="1799" max="1799" width="12.1328125" style="4" bestFit="1" customWidth="1"/>
    <col min="1800" max="1800" width="12.3984375" style="4" bestFit="1" customWidth="1"/>
    <col min="1801" max="1802" width="13.86328125" style="4" bestFit="1" customWidth="1"/>
    <col min="1803" max="1803" width="14.86328125" style="4" bestFit="1" customWidth="1"/>
    <col min="1804" max="2042" width="9.1328125" style="4"/>
    <col min="2043" max="2043" width="15.3984375" style="4" bestFit="1" customWidth="1"/>
    <col min="2044" max="2044" width="11.1328125" style="4" bestFit="1" customWidth="1"/>
    <col min="2045" max="2045" width="14.59765625" style="4" bestFit="1" customWidth="1"/>
    <col min="2046" max="2046" width="17.3984375" style="4" bestFit="1" customWidth="1"/>
    <col min="2047" max="2047" width="17.59765625" style="4" bestFit="1" customWidth="1"/>
    <col min="2048" max="2048" width="14.73046875" style="4" bestFit="1" customWidth="1"/>
    <col min="2049" max="2049" width="14.3984375" style="4" bestFit="1" customWidth="1"/>
    <col min="2050" max="2050" width="12.1328125" style="4" bestFit="1" customWidth="1"/>
    <col min="2051" max="2051" width="12.3984375" style="4" bestFit="1" customWidth="1"/>
    <col min="2052" max="2053" width="13.86328125" style="4" bestFit="1" customWidth="1"/>
    <col min="2054" max="2054" width="14.86328125" style="4" bestFit="1" customWidth="1"/>
    <col min="2055" max="2055" width="12.1328125" style="4" bestFit="1" customWidth="1"/>
    <col min="2056" max="2056" width="12.3984375" style="4" bestFit="1" customWidth="1"/>
    <col min="2057" max="2058" width="13.86328125" style="4" bestFit="1" customWidth="1"/>
    <col min="2059" max="2059" width="14.86328125" style="4" bestFit="1" customWidth="1"/>
    <col min="2060" max="2298" width="9.1328125" style="4"/>
    <col min="2299" max="2299" width="15.3984375" style="4" bestFit="1" customWidth="1"/>
    <col min="2300" max="2300" width="11.1328125" style="4" bestFit="1" customWidth="1"/>
    <col min="2301" max="2301" width="14.59765625" style="4" bestFit="1" customWidth="1"/>
    <col min="2302" max="2302" width="17.3984375" style="4" bestFit="1" customWidth="1"/>
    <col min="2303" max="2303" width="17.59765625" style="4" bestFit="1" customWidth="1"/>
    <col min="2304" max="2304" width="14.73046875" style="4" bestFit="1" customWidth="1"/>
    <col min="2305" max="2305" width="14.3984375" style="4" bestFit="1" customWidth="1"/>
    <col min="2306" max="2306" width="12.1328125" style="4" bestFit="1" customWidth="1"/>
    <col min="2307" max="2307" width="12.3984375" style="4" bestFit="1" customWidth="1"/>
    <col min="2308" max="2309" width="13.86328125" style="4" bestFit="1" customWidth="1"/>
    <col min="2310" max="2310" width="14.86328125" style="4" bestFit="1" customWidth="1"/>
    <col min="2311" max="2311" width="12.1328125" style="4" bestFit="1" customWidth="1"/>
    <col min="2312" max="2312" width="12.3984375" style="4" bestFit="1" customWidth="1"/>
    <col min="2313" max="2314" width="13.86328125" style="4" bestFit="1" customWidth="1"/>
    <col min="2315" max="2315" width="14.86328125" style="4" bestFit="1" customWidth="1"/>
    <col min="2316" max="2554" width="9.1328125" style="4"/>
    <col min="2555" max="2555" width="15.3984375" style="4" bestFit="1" customWidth="1"/>
    <col min="2556" max="2556" width="11.1328125" style="4" bestFit="1" customWidth="1"/>
    <col min="2557" max="2557" width="14.59765625" style="4" bestFit="1" customWidth="1"/>
    <col min="2558" max="2558" width="17.3984375" style="4" bestFit="1" customWidth="1"/>
    <col min="2559" max="2559" width="17.59765625" style="4" bestFit="1" customWidth="1"/>
    <col min="2560" max="2560" width="14.73046875" style="4" bestFit="1" customWidth="1"/>
    <col min="2561" max="2561" width="14.3984375" style="4" bestFit="1" customWidth="1"/>
    <col min="2562" max="2562" width="12.1328125" style="4" bestFit="1" customWidth="1"/>
    <col min="2563" max="2563" width="12.3984375" style="4" bestFit="1" customWidth="1"/>
    <col min="2564" max="2565" width="13.86328125" style="4" bestFit="1" customWidth="1"/>
    <col min="2566" max="2566" width="14.86328125" style="4" bestFit="1" customWidth="1"/>
    <col min="2567" max="2567" width="12.1328125" style="4" bestFit="1" customWidth="1"/>
    <col min="2568" max="2568" width="12.3984375" style="4" bestFit="1" customWidth="1"/>
    <col min="2569" max="2570" width="13.86328125" style="4" bestFit="1" customWidth="1"/>
    <col min="2571" max="2571" width="14.86328125" style="4" bestFit="1" customWidth="1"/>
    <col min="2572" max="2810" width="9.1328125" style="4"/>
    <col min="2811" max="2811" width="15.3984375" style="4" bestFit="1" customWidth="1"/>
    <col min="2812" max="2812" width="11.1328125" style="4" bestFit="1" customWidth="1"/>
    <col min="2813" max="2813" width="14.59765625" style="4" bestFit="1" customWidth="1"/>
    <col min="2814" max="2814" width="17.3984375" style="4" bestFit="1" customWidth="1"/>
    <col min="2815" max="2815" width="17.59765625" style="4" bestFit="1" customWidth="1"/>
    <col min="2816" max="2816" width="14.73046875" style="4" bestFit="1" customWidth="1"/>
    <col min="2817" max="2817" width="14.3984375" style="4" bestFit="1" customWidth="1"/>
    <col min="2818" max="2818" width="12.1328125" style="4" bestFit="1" customWidth="1"/>
    <col min="2819" max="2819" width="12.3984375" style="4" bestFit="1" customWidth="1"/>
    <col min="2820" max="2821" width="13.86328125" style="4" bestFit="1" customWidth="1"/>
    <col min="2822" max="2822" width="14.86328125" style="4" bestFit="1" customWidth="1"/>
    <col min="2823" max="2823" width="12.1328125" style="4" bestFit="1" customWidth="1"/>
    <col min="2824" max="2824" width="12.3984375" style="4" bestFit="1" customWidth="1"/>
    <col min="2825" max="2826" width="13.86328125" style="4" bestFit="1" customWidth="1"/>
    <col min="2827" max="2827" width="14.86328125" style="4" bestFit="1" customWidth="1"/>
    <col min="2828" max="3066" width="9.1328125" style="4"/>
    <col min="3067" max="3067" width="15.3984375" style="4" bestFit="1" customWidth="1"/>
    <col min="3068" max="3068" width="11.1328125" style="4" bestFit="1" customWidth="1"/>
    <col min="3069" max="3069" width="14.59765625" style="4" bestFit="1" customWidth="1"/>
    <col min="3070" max="3070" width="17.3984375" style="4" bestFit="1" customWidth="1"/>
    <col min="3071" max="3071" width="17.59765625" style="4" bestFit="1" customWidth="1"/>
    <col min="3072" max="3072" width="14.73046875" style="4" bestFit="1" customWidth="1"/>
    <col min="3073" max="3073" width="14.3984375" style="4" bestFit="1" customWidth="1"/>
    <col min="3074" max="3074" width="12.1328125" style="4" bestFit="1" customWidth="1"/>
    <col min="3075" max="3075" width="12.3984375" style="4" bestFit="1" customWidth="1"/>
    <col min="3076" max="3077" width="13.86328125" style="4" bestFit="1" customWidth="1"/>
    <col min="3078" max="3078" width="14.86328125" style="4" bestFit="1" customWidth="1"/>
    <col min="3079" max="3079" width="12.1328125" style="4" bestFit="1" customWidth="1"/>
    <col min="3080" max="3080" width="12.3984375" style="4" bestFit="1" customWidth="1"/>
    <col min="3081" max="3082" width="13.86328125" style="4" bestFit="1" customWidth="1"/>
    <col min="3083" max="3083" width="14.86328125" style="4" bestFit="1" customWidth="1"/>
    <col min="3084" max="3322" width="9.1328125" style="4"/>
    <col min="3323" max="3323" width="15.3984375" style="4" bestFit="1" customWidth="1"/>
    <col min="3324" max="3324" width="11.1328125" style="4" bestFit="1" customWidth="1"/>
    <col min="3325" max="3325" width="14.59765625" style="4" bestFit="1" customWidth="1"/>
    <col min="3326" max="3326" width="17.3984375" style="4" bestFit="1" customWidth="1"/>
    <col min="3327" max="3327" width="17.59765625" style="4" bestFit="1" customWidth="1"/>
    <col min="3328" max="3328" width="14.73046875" style="4" bestFit="1" customWidth="1"/>
    <col min="3329" max="3329" width="14.3984375" style="4" bestFit="1" customWidth="1"/>
    <col min="3330" max="3330" width="12.1328125" style="4" bestFit="1" customWidth="1"/>
    <col min="3331" max="3331" width="12.3984375" style="4" bestFit="1" customWidth="1"/>
    <col min="3332" max="3333" width="13.86328125" style="4" bestFit="1" customWidth="1"/>
    <col min="3334" max="3334" width="14.86328125" style="4" bestFit="1" customWidth="1"/>
    <col min="3335" max="3335" width="12.1328125" style="4" bestFit="1" customWidth="1"/>
    <col min="3336" max="3336" width="12.3984375" style="4" bestFit="1" customWidth="1"/>
    <col min="3337" max="3338" width="13.86328125" style="4" bestFit="1" customWidth="1"/>
    <col min="3339" max="3339" width="14.86328125" style="4" bestFit="1" customWidth="1"/>
    <col min="3340" max="3578" width="9.1328125" style="4"/>
    <col min="3579" max="3579" width="15.3984375" style="4" bestFit="1" customWidth="1"/>
    <col min="3580" max="3580" width="11.1328125" style="4" bestFit="1" customWidth="1"/>
    <col min="3581" max="3581" width="14.59765625" style="4" bestFit="1" customWidth="1"/>
    <col min="3582" max="3582" width="17.3984375" style="4" bestFit="1" customWidth="1"/>
    <col min="3583" max="3583" width="17.59765625" style="4" bestFit="1" customWidth="1"/>
    <col min="3584" max="3584" width="14.73046875" style="4" bestFit="1" customWidth="1"/>
    <col min="3585" max="3585" width="14.3984375" style="4" bestFit="1" customWidth="1"/>
    <col min="3586" max="3586" width="12.1328125" style="4" bestFit="1" customWidth="1"/>
    <col min="3587" max="3587" width="12.3984375" style="4" bestFit="1" customWidth="1"/>
    <col min="3588" max="3589" width="13.86328125" style="4" bestFit="1" customWidth="1"/>
    <col min="3590" max="3590" width="14.86328125" style="4" bestFit="1" customWidth="1"/>
    <col min="3591" max="3591" width="12.1328125" style="4" bestFit="1" customWidth="1"/>
    <col min="3592" max="3592" width="12.3984375" style="4" bestFit="1" customWidth="1"/>
    <col min="3593" max="3594" width="13.86328125" style="4" bestFit="1" customWidth="1"/>
    <col min="3595" max="3595" width="14.86328125" style="4" bestFit="1" customWidth="1"/>
    <col min="3596" max="3834" width="9.1328125" style="4"/>
    <col min="3835" max="3835" width="15.3984375" style="4" bestFit="1" customWidth="1"/>
    <col min="3836" max="3836" width="11.1328125" style="4" bestFit="1" customWidth="1"/>
    <col min="3837" max="3837" width="14.59765625" style="4" bestFit="1" customWidth="1"/>
    <col min="3838" max="3838" width="17.3984375" style="4" bestFit="1" customWidth="1"/>
    <col min="3839" max="3839" width="17.59765625" style="4" bestFit="1" customWidth="1"/>
    <col min="3840" max="3840" width="14.73046875" style="4" bestFit="1" customWidth="1"/>
    <col min="3841" max="3841" width="14.3984375" style="4" bestFit="1" customWidth="1"/>
    <col min="3842" max="3842" width="12.1328125" style="4" bestFit="1" customWidth="1"/>
    <col min="3843" max="3843" width="12.3984375" style="4" bestFit="1" customWidth="1"/>
    <col min="3844" max="3845" width="13.86328125" style="4" bestFit="1" customWidth="1"/>
    <col min="3846" max="3846" width="14.86328125" style="4" bestFit="1" customWidth="1"/>
    <col min="3847" max="3847" width="12.1328125" style="4" bestFit="1" customWidth="1"/>
    <col min="3848" max="3848" width="12.3984375" style="4" bestFit="1" customWidth="1"/>
    <col min="3849" max="3850" width="13.86328125" style="4" bestFit="1" customWidth="1"/>
    <col min="3851" max="3851" width="14.86328125" style="4" bestFit="1" customWidth="1"/>
    <col min="3852" max="4090" width="9.1328125" style="4"/>
    <col min="4091" max="4091" width="15.3984375" style="4" bestFit="1" customWidth="1"/>
    <col min="4092" max="4092" width="11.1328125" style="4" bestFit="1" customWidth="1"/>
    <col min="4093" max="4093" width="14.59765625" style="4" bestFit="1" customWidth="1"/>
    <col min="4094" max="4094" width="17.3984375" style="4" bestFit="1" customWidth="1"/>
    <col min="4095" max="4095" width="17.59765625" style="4" bestFit="1" customWidth="1"/>
    <col min="4096" max="4096" width="14.73046875" style="4" bestFit="1" customWidth="1"/>
    <col min="4097" max="4097" width="14.3984375" style="4" bestFit="1" customWidth="1"/>
    <col min="4098" max="4098" width="12.1328125" style="4" bestFit="1" customWidth="1"/>
    <col min="4099" max="4099" width="12.3984375" style="4" bestFit="1" customWidth="1"/>
    <col min="4100" max="4101" width="13.86328125" style="4" bestFit="1" customWidth="1"/>
    <col min="4102" max="4102" width="14.86328125" style="4" bestFit="1" customWidth="1"/>
    <col min="4103" max="4103" width="12.1328125" style="4" bestFit="1" customWidth="1"/>
    <col min="4104" max="4104" width="12.3984375" style="4" bestFit="1" customWidth="1"/>
    <col min="4105" max="4106" width="13.86328125" style="4" bestFit="1" customWidth="1"/>
    <col min="4107" max="4107" width="14.86328125" style="4" bestFit="1" customWidth="1"/>
    <col min="4108" max="4346" width="9.1328125" style="4"/>
    <col min="4347" max="4347" width="15.3984375" style="4" bestFit="1" customWidth="1"/>
    <col min="4348" max="4348" width="11.1328125" style="4" bestFit="1" customWidth="1"/>
    <col min="4349" max="4349" width="14.59765625" style="4" bestFit="1" customWidth="1"/>
    <col min="4350" max="4350" width="17.3984375" style="4" bestFit="1" customWidth="1"/>
    <col min="4351" max="4351" width="17.59765625" style="4" bestFit="1" customWidth="1"/>
    <col min="4352" max="4352" width="14.73046875" style="4" bestFit="1" customWidth="1"/>
    <col min="4353" max="4353" width="14.3984375" style="4" bestFit="1" customWidth="1"/>
    <col min="4354" max="4354" width="12.1328125" style="4" bestFit="1" customWidth="1"/>
    <col min="4355" max="4355" width="12.3984375" style="4" bestFit="1" customWidth="1"/>
    <col min="4356" max="4357" width="13.86328125" style="4" bestFit="1" customWidth="1"/>
    <col min="4358" max="4358" width="14.86328125" style="4" bestFit="1" customWidth="1"/>
    <col min="4359" max="4359" width="12.1328125" style="4" bestFit="1" customWidth="1"/>
    <col min="4360" max="4360" width="12.3984375" style="4" bestFit="1" customWidth="1"/>
    <col min="4361" max="4362" width="13.86328125" style="4" bestFit="1" customWidth="1"/>
    <col min="4363" max="4363" width="14.86328125" style="4" bestFit="1" customWidth="1"/>
    <col min="4364" max="4602" width="9.1328125" style="4"/>
    <col min="4603" max="4603" width="15.3984375" style="4" bestFit="1" customWidth="1"/>
    <col min="4604" max="4604" width="11.1328125" style="4" bestFit="1" customWidth="1"/>
    <col min="4605" max="4605" width="14.59765625" style="4" bestFit="1" customWidth="1"/>
    <col min="4606" max="4606" width="17.3984375" style="4" bestFit="1" customWidth="1"/>
    <col min="4607" max="4607" width="17.59765625" style="4" bestFit="1" customWidth="1"/>
    <col min="4608" max="4608" width="14.73046875" style="4" bestFit="1" customWidth="1"/>
    <col min="4609" max="4609" width="14.3984375" style="4" bestFit="1" customWidth="1"/>
    <col min="4610" max="4610" width="12.1328125" style="4" bestFit="1" customWidth="1"/>
    <col min="4611" max="4611" width="12.3984375" style="4" bestFit="1" customWidth="1"/>
    <col min="4612" max="4613" width="13.86328125" style="4" bestFit="1" customWidth="1"/>
    <col min="4614" max="4614" width="14.86328125" style="4" bestFit="1" customWidth="1"/>
    <col min="4615" max="4615" width="12.1328125" style="4" bestFit="1" customWidth="1"/>
    <col min="4616" max="4616" width="12.3984375" style="4" bestFit="1" customWidth="1"/>
    <col min="4617" max="4618" width="13.86328125" style="4" bestFit="1" customWidth="1"/>
    <col min="4619" max="4619" width="14.86328125" style="4" bestFit="1" customWidth="1"/>
    <col min="4620" max="4858" width="9.1328125" style="4"/>
    <col min="4859" max="4859" width="15.3984375" style="4" bestFit="1" customWidth="1"/>
    <col min="4860" max="4860" width="11.1328125" style="4" bestFit="1" customWidth="1"/>
    <col min="4861" max="4861" width="14.59765625" style="4" bestFit="1" customWidth="1"/>
    <col min="4862" max="4862" width="17.3984375" style="4" bestFit="1" customWidth="1"/>
    <col min="4863" max="4863" width="17.59765625" style="4" bestFit="1" customWidth="1"/>
    <col min="4864" max="4864" width="14.73046875" style="4" bestFit="1" customWidth="1"/>
    <col min="4865" max="4865" width="14.3984375" style="4" bestFit="1" customWidth="1"/>
    <col min="4866" max="4866" width="12.1328125" style="4" bestFit="1" customWidth="1"/>
    <col min="4867" max="4867" width="12.3984375" style="4" bestFit="1" customWidth="1"/>
    <col min="4868" max="4869" width="13.86328125" style="4" bestFit="1" customWidth="1"/>
    <col min="4870" max="4870" width="14.86328125" style="4" bestFit="1" customWidth="1"/>
    <col min="4871" max="4871" width="12.1328125" style="4" bestFit="1" customWidth="1"/>
    <col min="4872" max="4872" width="12.3984375" style="4" bestFit="1" customWidth="1"/>
    <col min="4873" max="4874" width="13.86328125" style="4" bestFit="1" customWidth="1"/>
    <col min="4875" max="4875" width="14.86328125" style="4" bestFit="1" customWidth="1"/>
    <col min="4876" max="5114" width="9.1328125" style="4"/>
    <col min="5115" max="5115" width="15.3984375" style="4" bestFit="1" customWidth="1"/>
    <col min="5116" max="5116" width="11.1328125" style="4" bestFit="1" customWidth="1"/>
    <col min="5117" max="5117" width="14.59765625" style="4" bestFit="1" customWidth="1"/>
    <col min="5118" max="5118" width="17.3984375" style="4" bestFit="1" customWidth="1"/>
    <col min="5119" max="5119" width="17.59765625" style="4" bestFit="1" customWidth="1"/>
    <col min="5120" max="5120" width="14.73046875" style="4" bestFit="1" customWidth="1"/>
    <col min="5121" max="5121" width="14.3984375" style="4" bestFit="1" customWidth="1"/>
    <col min="5122" max="5122" width="12.1328125" style="4" bestFit="1" customWidth="1"/>
    <col min="5123" max="5123" width="12.3984375" style="4" bestFit="1" customWidth="1"/>
    <col min="5124" max="5125" width="13.86328125" style="4" bestFit="1" customWidth="1"/>
    <col min="5126" max="5126" width="14.86328125" style="4" bestFit="1" customWidth="1"/>
    <col min="5127" max="5127" width="12.1328125" style="4" bestFit="1" customWidth="1"/>
    <col min="5128" max="5128" width="12.3984375" style="4" bestFit="1" customWidth="1"/>
    <col min="5129" max="5130" width="13.86328125" style="4" bestFit="1" customWidth="1"/>
    <col min="5131" max="5131" width="14.86328125" style="4" bestFit="1" customWidth="1"/>
    <col min="5132" max="5370" width="9.1328125" style="4"/>
    <col min="5371" max="5371" width="15.3984375" style="4" bestFit="1" customWidth="1"/>
    <col min="5372" max="5372" width="11.1328125" style="4" bestFit="1" customWidth="1"/>
    <col min="5373" max="5373" width="14.59765625" style="4" bestFit="1" customWidth="1"/>
    <col min="5374" max="5374" width="17.3984375" style="4" bestFit="1" customWidth="1"/>
    <col min="5375" max="5375" width="17.59765625" style="4" bestFit="1" customWidth="1"/>
    <col min="5376" max="5376" width="14.73046875" style="4" bestFit="1" customWidth="1"/>
    <col min="5377" max="5377" width="14.3984375" style="4" bestFit="1" customWidth="1"/>
    <col min="5378" max="5378" width="12.1328125" style="4" bestFit="1" customWidth="1"/>
    <col min="5379" max="5379" width="12.3984375" style="4" bestFit="1" customWidth="1"/>
    <col min="5380" max="5381" width="13.86328125" style="4" bestFit="1" customWidth="1"/>
    <col min="5382" max="5382" width="14.86328125" style="4" bestFit="1" customWidth="1"/>
    <col min="5383" max="5383" width="12.1328125" style="4" bestFit="1" customWidth="1"/>
    <col min="5384" max="5384" width="12.3984375" style="4" bestFit="1" customWidth="1"/>
    <col min="5385" max="5386" width="13.86328125" style="4" bestFit="1" customWidth="1"/>
    <col min="5387" max="5387" width="14.86328125" style="4" bestFit="1" customWidth="1"/>
    <col min="5388" max="5626" width="9.1328125" style="4"/>
    <col min="5627" max="5627" width="15.3984375" style="4" bestFit="1" customWidth="1"/>
    <col min="5628" max="5628" width="11.1328125" style="4" bestFit="1" customWidth="1"/>
    <col min="5629" max="5629" width="14.59765625" style="4" bestFit="1" customWidth="1"/>
    <col min="5630" max="5630" width="17.3984375" style="4" bestFit="1" customWidth="1"/>
    <col min="5631" max="5631" width="17.59765625" style="4" bestFit="1" customWidth="1"/>
    <col min="5632" max="5632" width="14.73046875" style="4" bestFit="1" customWidth="1"/>
    <col min="5633" max="5633" width="14.3984375" style="4" bestFit="1" customWidth="1"/>
    <col min="5634" max="5634" width="12.1328125" style="4" bestFit="1" customWidth="1"/>
    <col min="5635" max="5635" width="12.3984375" style="4" bestFit="1" customWidth="1"/>
    <col min="5636" max="5637" width="13.86328125" style="4" bestFit="1" customWidth="1"/>
    <col min="5638" max="5638" width="14.86328125" style="4" bestFit="1" customWidth="1"/>
    <col min="5639" max="5639" width="12.1328125" style="4" bestFit="1" customWidth="1"/>
    <col min="5640" max="5640" width="12.3984375" style="4" bestFit="1" customWidth="1"/>
    <col min="5641" max="5642" width="13.86328125" style="4" bestFit="1" customWidth="1"/>
    <col min="5643" max="5643" width="14.86328125" style="4" bestFit="1" customWidth="1"/>
    <col min="5644" max="5882" width="9.1328125" style="4"/>
    <col min="5883" max="5883" width="15.3984375" style="4" bestFit="1" customWidth="1"/>
    <col min="5884" max="5884" width="11.1328125" style="4" bestFit="1" customWidth="1"/>
    <col min="5885" max="5885" width="14.59765625" style="4" bestFit="1" customWidth="1"/>
    <col min="5886" max="5886" width="17.3984375" style="4" bestFit="1" customWidth="1"/>
    <col min="5887" max="5887" width="17.59765625" style="4" bestFit="1" customWidth="1"/>
    <col min="5888" max="5888" width="14.73046875" style="4" bestFit="1" customWidth="1"/>
    <col min="5889" max="5889" width="14.3984375" style="4" bestFit="1" customWidth="1"/>
    <col min="5890" max="5890" width="12.1328125" style="4" bestFit="1" customWidth="1"/>
    <col min="5891" max="5891" width="12.3984375" style="4" bestFit="1" customWidth="1"/>
    <col min="5892" max="5893" width="13.86328125" style="4" bestFit="1" customWidth="1"/>
    <col min="5894" max="5894" width="14.86328125" style="4" bestFit="1" customWidth="1"/>
    <col min="5895" max="5895" width="12.1328125" style="4" bestFit="1" customWidth="1"/>
    <col min="5896" max="5896" width="12.3984375" style="4" bestFit="1" customWidth="1"/>
    <col min="5897" max="5898" width="13.86328125" style="4" bestFit="1" customWidth="1"/>
    <col min="5899" max="5899" width="14.86328125" style="4" bestFit="1" customWidth="1"/>
    <col min="5900" max="6138" width="9.1328125" style="4"/>
    <col min="6139" max="6139" width="15.3984375" style="4" bestFit="1" customWidth="1"/>
    <col min="6140" max="6140" width="11.1328125" style="4" bestFit="1" customWidth="1"/>
    <col min="6141" max="6141" width="14.59765625" style="4" bestFit="1" customWidth="1"/>
    <col min="6142" max="6142" width="17.3984375" style="4" bestFit="1" customWidth="1"/>
    <col min="6143" max="6143" width="17.59765625" style="4" bestFit="1" customWidth="1"/>
    <col min="6144" max="6144" width="14.73046875" style="4" bestFit="1" customWidth="1"/>
    <col min="6145" max="6145" width="14.3984375" style="4" bestFit="1" customWidth="1"/>
    <col min="6146" max="6146" width="12.1328125" style="4" bestFit="1" customWidth="1"/>
    <col min="6147" max="6147" width="12.3984375" style="4" bestFit="1" customWidth="1"/>
    <col min="6148" max="6149" width="13.86328125" style="4" bestFit="1" customWidth="1"/>
    <col min="6150" max="6150" width="14.86328125" style="4" bestFit="1" customWidth="1"/>
    <col min="6151" max="6151" width="12.1328125" style="4" bestFit="1" customWidth="1"/>
    <col min="6152" max="6152" width="12.3984375" style="4" bestFit="1" customWidth="1"/>
    <col min="6153" max="6154" width="13.86328125" style="4" bestFit="1" customWidth="1"/>
    <col min="6155" max="6155" width="14.86328125" style="4" bestFit="1" customWidth="1"/>
    <col min="6156" max="6394" width="9.1328125" style="4"/>
    <col min="6395" max="6395" width="15.3984375" style="4" bestFit="1" customWidth="1"/>
    <col min="6396" max="6396" width="11.1328125" style="4" bestFit="1" customWidth="1"/>
    <col min="6397" max="6397" width="14.59765625" style="4" bestFit="1" customWidth="1"/>
    <col min="6398" max="6398" width="17.3984375" style="4" bestFit="1" customWidth="1"/>
    <col min="6399" max="6399" width="17.59765625" style="4" bestFit="1" customWidth="1"/>
    <col min="6400" max="6400" width="14.73046875" style="4" bestFit="1" customWidth="1"/>
    <col min="6401" max="6401" width="14.3984375" style="4" bestFit="1" customWidth="1"/>
    <col min="6402" max="6402" width="12.1328125" style="4" bestFit="1" customWidth="1"/>
    <col min="6403" max="6403" width="12.3984375" style="4" bestFit="1" customWidth="1"/>
    <col min="6404" max="6405" width="13.86328125" style="4" bestFit="1" customWidth="1"/>
    <col min="6406" max="6406" width="14.86328125" style="4" bestFit="1" customWidth="1"/>
    <col min="6407" max="6407" width="12.1328125" style="4" bestFit="1" customWidth="1"/>
    <col min="6408" max="6408" width="12.3984375" style="4" bestFit="1" customWidth="1"/>
    <col min="6409" max="6410" width="13.86328125" style="4" bestFit="1" customWidth="1"/>
    <col min="6411" max="6411" width="14.86328125" style="4" bestFit="1" customWidth="1"/>
    <col min="6412" max="6650" width="9.1328125" style="4"/>
    <col min="6651" max="6651" width="15.3984375" style="4" bestFit="1" customWidth="1"/>
    <col min="6652" max="6652" width="11.1328125" style="4" bestFit="1" customWidth="1"/>
    <col min="6653" max="6653" width="14.59765625" style="4" bestFit="1" customWidth="1"/>
    <col min="6654" max="6654" width="17.3984375" style="4" bestFit="1" customWidth="1"/>
    <col min="6655" max="6655" width="17.59765625" style="4" bestFit="1" customWidth="1"/>
    <col min="6656" max="6656" width="14.73046875" style="4" bestFit="1" customWidth="1"/>
    <col min="6657" max="6657" width="14.3984375" style="4" bestFit="1" customWidth="1"/>
    <col min="6658" max="6658" width="12.1328125" style="4" bestFit="1" customWidth="1"/>
    <col min="6659" max="6659" width="12.3984375" style="4" bestFit="1" customWidth="1"/>
    <col min="6660" max="6661" width="13.86328125" style="4" bestFit="1" customWidth="1"/>
    <col min="6662" max="6662" width="14.86328125" style="4" bestFit="1" customWidth="1"/>
    <col min="6663" max="6663" width="12.1328125" style="4" bestFit="1" customWidth="1"/>
    <col min="6664" max="6664" width="12.3984375" style="4" bestFit="1" customWidth="1"/>
    <col min="6665" max="6666" width="13.86328125" style="4" bestFit="1" customWidth="1"/>
    <col min="6667" max="6667" width="14.86328125" style="4" bestFit="1" customWidth="1"/>
    <col min="6668" max="6906" width="9.1328125" style="4"/>
    <col min="6907" max="6907" width="15.3984375" style="4" bestFit="1" customWidth="1"/>
    <col min="6908" max="6908" width="11.1328125" style="4" bestFit="1" customWidth="1"/>
    <col min="6909" max="6909" width="14.59765625" style="4" bestFit="1" customWidth="1"/>
    <col min="6910" max="6910" width="17.3984375" style="4" bestFit="1" customWidth="1"/>
    <col min="6911" max="6911" width="17.59765625" style="4" bestFit="1" customWidth="1"/>
    <col min="6912" max="6912" width="14.73046875" style="4" bestFit="1" customWidth="1"/>
    <col min="6913" max="6913" width="14.3984375" style="4" bestFit="1" customWidth="1"/>
    <col min="6914" max="6914" width="12.1328125" style="4" bestFit="1" customWidth="1"/>
    <col min="6915" max="6915" width="12.3984375" style="4" bestFit="1" customWidth="1"/>
    <col min="6916" max="6917" width="13.86328125" style="4" bestFit="1" customWidth="1"/>
    <col min="6918" max="6918" width="14.86328125" style="4" bestFit="1" customWidth="1"/>
    <col min="6919" max="6919" width="12.1328125" style="4" bestFit="1" customWidth="1"/>
    <col min="6920" max="6920" width="12.3984375" style="4" bestFit="1" customWidth="1"/>
    <col min="6921" max="6922" width="13.86328125" style="4" bestFit="1" customWidth="1"/>
    <col min="6923" max="6923" width="14.86328125" style="4" bestFit="1" customWidth="1"/>
    <col min="6924" max="7162" width="9.1328125" style="4"/>
    <col min="7163" max="7163" width="15.3984375" style="4" bestFit="1" customWidth="1"/>
    <col min="7164" max="7164" width="11.1328125" style="4" bestFit="1" customWidth="1"/>
    <col min="7165" max="7165" width="14.59765625" style="4" bestFit="1" customWidth="1"/>
    <col min="7166" max="7166" width="17.3984375" style="4" bestFit="1" customWidth="1"/>
    <col min="7167" max="7167" width="17.59765625" style="4" bestFit="1" customWidth="1"/>
    <col min="7168" max="7168" width="14.73046875" style="4" bestFit="1" customWidth="1"/>
    <col min="7169" max="7169" width="14.3984375" style="4" bestFit="1" customWidth="1"/>
    <col min="7170" max="7170" width="12.1328125" style="4" bestFit="1" customWidth="1"/>
    <col min="7171" max="7171" width="12.3984375" style="4" bestFit="1" customWidth="1"/>
    <col min="7172" max="7173" width="13.86328125" style="4" bestFit="1" customWidth="1"/>
    <col min="7174" max="7174" width="14.86328125" style="4" bestFit="1" customWidth="1"/>
    <col min="7175" max="7175" width="12.1328125" style="4" bestFit="1" customWidth="1"/>
    <col min="7176" max="7176" width="12.3984375" style="4" bestFit="1" customWidth="1"/>
    <col min="7177" max="7178" width="13.86328125" style="4" bestFit="1" customWidth="1"/>
    <col min="7179" max="7179" width="14.86328125" style="4" bestFit="1" customWidth="1"/>
    <col min="7180" max="7418" width="9.1328125" style="4"/>
    <col min="7419" max="7419" width="15.3984375" style="4" bestFit="1" customWidth="1"/>
    <col min="7420" max="7420" width="11.1328125" style="4" bestFit="1" customWidth="1"/>
    <col min="7421" max="7421" width="14.59765625" style="4" bestFit="1" customWidth="1"/>
    <col min="7422" max="7422" width="17.3984375" style="4" bestFit="1" customWidth="1"/>
    <col min="7423" max="7423" width="17.59765625" style="4" bestFit="1" customWidth="1"/>
    <col min="7424" max="7424" width="14.73046875" style="4" bestFit="1" customWidth="1"/>
    <col min="7425" max="7425" width="14.3984375" style="4" bestFit="1" customWidth="1"/>
    <col min="7426" max="7426" width="12.1328125" style="4" bestFit="1" customWidth="1"/>
    <col min="7427" max="7427" width="12.3984375" style="4" bestFit="1" customWidth="1"/>
    <col min="7428" max="7429" width="13.86328125" style="4" bestFit="1" customWidth="1"/>
    <col min="7430" max="7430" width="14.86328125" style="4" bestFit="1" customWidth="1"/>
    <col min="7431" max="7431" width="12.1328125" style="4" bestFit="1" customWidth="1"/>
    <col min="7432" max="7432" width="12.3984375" style="4" bestFit="1" customWidth="1"/>
    <col min="7433" max="7434" width="13.86328125" style="4" bestFit="1" customWidth="1"/>
    <col min="7435" max="7435" width="14.86328125" style="4" bestFit="1" customWidth="1"/>
    <col min="7436" max="7674" width="9.1328125" style="4"/>
    <col min="7675" max="7675" width="15.3984375" style="4" bestFit="1" customWidth="1"/>
    <col min="7676" max="7676" width="11.1328125" style="4" bestFit="1" customWidth="1"/>
    <col min="7677" max="7677" width="14.59765625" style="4" bestFit="1" customWidth="1"/>
    <col min="7678" max="7678" width="17.3984375" style="4" bestFit="1" customWidth="1"/>
    <col min="7679" max="7679" width="17.59765625" style="4" bestFit="1" customWidth="1"/>
    <col min="7680" max="7680" width="14.73046875" style="4" bestFit="1" customWidth="1"/>
    <col min="7681" max="7681" width="14.3984375" style="4" bestFit="1" customWidth="1"/>
    <col min="7682" max="7682" width="12.1328125" style="4" bestFit="1" customWidth="1"/>
    <col min="7683" max="7683" width="12.3984375" style="4" bestFit="1" customWidth="1"/>
    <col min="7684" max="7685" width="13.86328125" style="4" bestFit="1" customWidth="1"/>
    <col min="7686" max="7686" width="14.86328125" style="4" bestFit="1" customWidth="1"/>
    <col min="7687" max="7687" width="12.1328125" style="4" bestFit="1" customWidth="1"/>
    <col min="7688" max="7688" width="12.3984375" style="4" bestFit="1" customWidth="1"/>
    <col min="7689" max="7690" width="13.86328125" style="4" bestFit="1" customWidth="1"/>
    <col min="7691" max="7691" width="14.86328125" style="4" bestFit="1" customWidth="1"/>
    <col min="7692" max="7930" width="9.1328125" style="4"/>
    <col min="7931" max="7931" width="15.3984375" style="4" bestFit="1" customWidth="1"/>
    <col min="7932" max="7932" width="11.1328125" style="4" bestFit="1" customWidth="1"/>
    <col min="7933" max="7933" width="14.59765625" style="4" bestFit="1" customWidth="1"/>
    <col min="7934" max="7934" width="17.3984375" style="4" bestFit="1" customWidth="1"/>
    <col min="7935" max="7935" width="17.59765625" style="4" bestFit="1" customWidth="1"/>
    <col min="7936" max="7936" width="14.73046875" style="4" bestFit="1" customWidth="1"/>
    <col min="7937" max="7937" width="14.3984375" style="4" bestFit="1" customWidth="1"/>
    <col min="7938" max="7938" width="12.1328125" style="4" bestFit="1" customWidth="1"/>
    <col min="7939" max="7939" width="12.3984375" style="4" bestFit="1" customWidth="1"/>
    <col min="7940" max="7941" width="13.86328125" style="4" bestFit="1" customWidth="1"/>
    <col min="7942" max="7942" width="14.86328125" style="4" bestFit="1" customWidth="1"/>
    <col min="7943" max="7943" width="12.1328125" style="4" bestFit="1" customWidth="1"/>
    <col min="7944" max="7944" width="12.3984375" style="4" bestFit="1" customWidth="1"/>
    <col min="7945" max="7946" width="13.86328125" style="4" bestFit="1" customWidth="1"/>
    <col min="7947" max="7947" width="14.86328125" style="4" bestFit="1" customWidth="1"/>
    <col min="7948" max="8186" width="9.1328125" style="4"/>
    <col min="8187" max="8187" width="15.3984375" style="4" bestFit="1" customWidth="1"/>
    <col min="8188" max="8188" width="11.1328125" style="4" bestFit="1" customWidth="1"/>
    <col min="8189" max="8189" width="14.59765625" style="4" bestFit="1" customWidth="1"/>
    <col min="8190" max="8190" width="17.3984375" style="4" bestFit="1" customWidth="1"/>
    <col min="8191" max="8191" width="17.59765625" style="4" bestFit="1" customWidth="1"/>
    <col min="8192" max="8192" width="14.73046875" style="4" bestFit="1" customWidth="1"/>
    <col min="8193" max="8193" width="14.3984375" style="4" bestFit="1" customWidth="1"/>
    <col min="8194" max="8194" width="12.1328125" style="4" bestFit="1" customWidth="1"/>
    <col min="8195" max="8195" width="12.3984375" style="4" bestFit="1" customWidth="1"/>
    <col min="8196" max="8197" width="13.86328125" style="4" bestFit="1" customWidth="1"/>
    <col min="8198" max="8198" width="14.86328125" style="4" bestFit="1" customWidth="1"/>
    <col min="8199" max="8199" width="12.1328125" style="4" bestFit="1" customWidth="1"/>
    <col min="8200" max="8200" width="12.3984375" style="4" bestFit="1" customWidth="1"/>
    <col min="8201" max="8202" width="13.86328125" style="4" bestFit="1" customWidth="1"/>
    <col min="8203" max="8203" width="14.86328125" style="4" bestFit="1" customWidth="1"/>
    <col min="8204" max="8442" width="9.1328125" style="4"/>
    <col min="8443" max="8443" width="15.3984375" style="4" bestFit="1" customWidth="1"/>
    <col min="8444" max="8444" width="11.1328125" style="4" bestFit="1" customWidth="1"/>
    <col min="8445" max="8445" width="14.59765625" style="4" bestFit="1" customWidth="1"/>
    <col min="8446" max="8446" width="17.3984375" style="4" bestFit="1" customWidth="1"/>
    <col min="8447" max="8447" width="17.59765625" style="4" bestFit="1" customWidth="1"/>
    <col min="8448" max="8448" width="14.73046875" style="4" bestFit="1" customWidth="1"/>
    <col min="8449" max="8449" width="14.3984375" style="4" bestFit="1" customWidth="1"/>
    <col min="8450" max="8450" width="12.1328125" style="4" bestFit="1" customWidth="1"/>
    <col min="8451" max="8451" width="12.3984375" style="4" bestFit="1" customWidth="1"/>
    <col min="8452" max="8453" width="13.86328125" style="4" bestFit="1" customWidth="1"/>
    <col min="8454" max="8454" width="14.86328125" style="4" bestFit="1" customWidth="1"/>
    <col min="8455" max="8455" width="12.1328125" style="4" bestFit="1" customWidth="1"/>
    <col min="8456" max="8456" width="12.3984375" style="4" bestFit="1" customWidth="1"/>
    <col min="8457" max="8458" width="13.86328125" style="4" bestFit="1" customWidth="1"/>
    <col min="8459" max="8459" width="14.86328125" style="4" bestFit="1" customWidth="1"/>
    <col min="8460" max="8698" width="9.1328125" style="4"/>
    <col min="8699" max="8699" width="15.3984375" style="4" bestFit="1" customWidth="1"/>
    <col min="8700" max="8700" width="11.1328125" style="4" bestFit="1" customWidth="1"/>
    <col min="8701" max="8701" width="14.59765625" style="4" bestFit="1" customWidth="1"/>
    <col min="8702" max="8702" width="17.3984375" style="4" bestFit="1" customWidth="1"/>
    <col min="8703" max="8703" width="17.59765625" style="4" bestFit="1" customWidth="1"/>
    <col min="8704" max="8704" width="14.73046875" style="4" bestFit="1" customWidth="1"/>
    <col min="8705" max="8705" width="14.3984375" style="4" bestFit="1" customWidth="1"/>
    <col min="8706" max="8706" width="12.1328125" style="4" bestFit="1" customWidth="1"/>
    <col min="8707" max="8707" width="12.3984375" style="4" bestFit="1" customWidth="1"/>
    <col min="8708" max="8709" width="13.86328125" style="4" bestFit="1" customWidth="1"/>
    <col min="8710" max="8710" width="14.86328125" style="4" bestFit="1" customWidth="1"/>
    <col min="8711" max="8711" width="12.1328125" style="4" bestFit="1" customWidth="1"/>
    <col min="8712" max="8712" width="12.3984375" style="4" bestFit="1" customWidth="1"/>
    <col min="8713" max="8714" width="13.86328125" style="4" bestFit="1" customWidth="1"/>
    <col min="8715" max="8715" width="14.86328125" style="4" bestFit="1" customWidth="1"/>
    <col min="8716" max="8954" width="9.1328125" style="4"/>
    <col min="8955" max="8955" width="15.3984375" style="4" bestFit="1" customWidth="1"/>
    <col min="8956" max="8956" width="11.1328125" style="4" bestFit="1" customWidth="1"/>
    <col min="8957" max="8957" width="14.59765625" style="4" bestFit="1" customWidth="1"/>
    <col min="8958" max="8958" width="17.3984375" style="4" bestFit="1" customWidth="1"/>
    <col min="8959" max="8959" width="17.59765625" style="4" bestFit="1" customWidth="1"/>
    <col min="8960" max="8960" width="14.73046875" style="4" bestFit="1" customWidth="1"/>
    <col min="8961" max="8961" width="14.3984375" style="4" bestFit="1" customWidth="1"/>
    <col min="8962" max="8962" width="12.1328125" style="4" bestFit="1" customWidth="1"/>
    <col min="8963" max="8963" width="12.3984375" style="4" bestFit="1" customWidth="1"/>
    <col min="8964" max="8965" width="13.86328125" style="4" bestFit="1" customWidth="1"/>
    <col min="8966" max="8966" width="14.86328125" style="4" bestFit="1" customWidth="1"/>
    <col min="8967" max="8967" width="12.1328125" style="4" bestFit="1" customWidth="1"/>
    <col min="8968" max="8968" width="12.3984375" style="4" bestFit="1" customWidth="1"/>
    <col min="8969" max="8970" width="13.86328125" style="4" bestFit="1" customWidth="1"/>
    <col min="8971" max="8971" width="14.86328125" style="4" bestFit="1" customWidth="1"/>
    <col min="8972" max="9210" width="9.1328125" style="4"/>
    <col min="9211" max="9211" width="15.3984375" style="4" bestFit="1" customWidth="1"/>
    <col min="9212" max="9212" width="11.1328125" style="4" bestFit="1" customWidth="1"/>
    <col min="9213" max="9213" width="14.59765625" style="4" bestFit="1" customWidth="1"/>
    <col min="9214" max="9214" width="17.3984375" style="4" bestFit="1" customWidth="1"/>
    <col min="9215" max="9215" width="17.59765625" style="4" bestFit="1" customWidth="1"/>
    <col min="9216" max="9216" width="14.73046875" style="4" bestFit="1" customWidth="1"/>
    <col min="9217" max="9217" width="14.3984375" style="4" bestFit="1" customWidth="1"/>
    <col min="9218" max="9218" width="12.1328125" style="4" bestFit="1" customWidth="1"/>
    <col min="9219" max="9219" width="12.3984375" style="4" bestFit="1" customWidth="1"/>
    <col min="9220" max="9221" width="13.86328125" style="4" bestFit="1" customWidth="1"/>
    <col min="9222" max="9222" width="14.86328125" style="4" bestFit="1" customWidth="1"/>
    <col min="9223" max="9223" width="12.1328125" style="4" bestFit="1" customWidth="1"/>
    <col min="9224" max="9224" width="12.3984375" style="4" bestFit="1" customWidth="1"/>
    <col min="9225" max="9226" width="13.86328125" style="4" bestFit="1" customWidth="1"/>
    <col min="9227" max="9227" width="14.86328125" style="4" bestFit="1" customWidth="1"/>
    <col min="9228" max="9466" width="9.1328125" style="4"/>
    <col min="9467" max="9467" width="15.3984375" style="4" bestFit="1" customWidth="1"/>
    <col min="9468" max="9468" width="11.1328125" style="4" bestFit="1" customWidth="1"/>
    <col min="9469" max="9469" width="14.59765625" style="4" bestFit="1" customWidth="1"/>
    <col min="9470" max="9470" width="17.3984375" style="4" bestFit="1" customWidth="1"/>
    <col min="9471" max="9471" width="17.59765625" style="4" bestFit="1" customWidth="1"/>
    <col min="9472" max="9472" width="14.73046875" style="4" bestFit="1" customWidth="1"/>
    <col min="9473" max="9473" width="14.3984375" style="4" bestFit="1" customWidth="1"/>
    <col min="9474" max="9474" width="12.1328125" style="4" bestFit="1" customWidth="1"/>
    <col min="9475" max="9475" width="12.3984375" style="4" bestFit="1" customWidth="1"/>
    <col min="9476" max="9477" width="13.86328125" style="4" bestFit="1" customWidth="1"/>
    <col min="9478" max="9478" width="14.86328125" style="4" bestFit="1" customWidth="1"/>
    <col min="9479" max="9479" width="12.1328125" style="4" bestFit="1" customWidth="1"/>
    <col min="9480" max="9480" width="12.3984375" style="4" bestFit="1" customWidth="1"/>
    <col min="9481" max="9482" width="13.86328125" style="4" bestFit="1" customWidth="1"/>
    <col min="9483" max="9483" width="14.86328125" style="4" bestFit="1" customWidth="1"/>
    <col min="9484" max="9722" width="9.1328125" style="4"/>
    <col min="9723" max="9723" width="15.3984375" style="4" bestFit="1" customWidth="1"/>
    <col min="9724" max="9724" width="11.1328125" style="4" bestFit="1" customWidth="1"/>
    <col min="9725" max="9725" width="14.59765625" style="4" bestFit="1" customWidth="1"/>
    <col min="9726" max="9726" width="17.3984375" style="4" bestFit="1" customWidth="1"/>
    <col min="9727" max="9727" width="17.59765625" style="4" bestFit="1" customWidth="1"/>
    <col min="9728" max="9728" width="14.73046875" style="4" bestFit="1" customWidth="1"/>
    <col min="9729" max="9729" width="14.3984375" style="4" bestFit="1" customWidth="1"/>
    <col min="9730" max="9730" width="12.1328125" style="4" bestFit="1" customWidth="1"/>
    <col min="9731" max="9731" width="12.3984375" style="4" bestFit="1" customWidth="1"/>
    <col min="9732" max="9733" width="13.86328125" style="4" bestFit="1" customWidth="1"/>
    <col min="9734" max="9734" width="14.86328125" style="4" bestFit="1" customWidth="1"/>
    <col min="9735" max="9735" width="12.1328125" style="4" bestFit="1" customWidth="1"/>
    <col min="9736" max="9736" width="12.3984375" style="4" bestFit="1" customWidth="1"/>
    <col min="9737" max="9738" width="13.86328125" style="4" bestFit="1" customWidth="1"/>
    <col min="9739" max="9739" width="14.86328125" style="4" bestFit="1" customWidth="1"/>
    <col min="9740" max="9978" width="9.1328125" style="4"/>
    <col min="9979" max="9979" width="15.3984375" style="4" bestFit="1" customWidth="1"/>
    <col min="9980" max="9980" width="11.1328125" style="4" bestFit="1" customWidth="1"/>
    <col min="9981" max="9981" width="14.59765625" style="4" bestFit="1" customWidth="1"/>
    <col min="9982" max="9982" width="17.3984375" style="4" bestFit="1" customWidth="1"/>
    <col min="9983" max="9983" width="17.59765625" style="4" bestFit="1" customWidth="1"/>
    <col min="9984" max="9984" width="14.73046875" style="4" bestFit="1" customWidth="1"/>
    <col min="9985" max="9985" width="14.3984375" style="4" bestFit="1" customWidth="1"/>
    <col min="9986" max="9986" width="12.1328125" style="4" bestFit="1" customWidth="1"/>
    <col min="9987" max="9987" width="12.3984375" style="4" bestFit="1" customWidth="1"/>
    <col min="9988" max="9989" width="13.86328125" style="4" bestFit="1" customWidth="1"/>
    <col min="9990" max="9990" width="14.86328125" style="4" bestFit="1" customWidth="1"/>
    <col min="9991" max="9991" width="12.1328125" style="4" bestFit="1" customWidth="1"/>
    <col min="9992" max="9992" width="12.3984375" style="4" bestFit="1" customWidth="1"/>
    <col min="9993" max="9994" width="13.86328125" style="4" bestFit="1" customWidth="1"/>
    <col min="9995" max="9995" width="14.86328125" style="4" bestFit="1" customWidth="1"/>
    <col min="9996" max="10234" width="9.1328125" style="4"/>
    <col min="10235" max="10235" width="15.3984375" style="4" bestFit="1" customWidth="1"/>
    <col min="10236" max="10236" width="11.1328125" style="4" bestFit="1" customWidth="1"/>
    <col min="10237" max="10237" width="14.59765625" style="4" bestFit="1" customWidth="1"/>
    <col min="10238" max="10238" width="17.3984375" style="4" bestFit="1" customWidth="1"/>
    <col min="10239" max="10239" width="17.59765625" style="4" bestFit="1" customWidth="1"/>
    <col min="10240" max="10240" width="14.73046875" style="4" bestFit="1" customWidth="1"/>
    <col min="10241" max="10241" width="14.3984375" style="4" bestFit="1" customWidth="1"/>
    <col min="10242" max="10242" width="12.1328125" style="4" bestFit="1" customWidth="1"/>
    <col min="10243" max="10243" width="12.3984375" style="4" bestFit="1" customWidth="1"/>
    <col min="10244" max="10245" width="13.86328125" style="4" bestFit="1" customWidth="1"/>
    <col min="10246" max="10246" width="14.86328125" style="4" bestFit="1" customWidth="1"/>
    <col min="10247" max="10247" width="12.1328125" style="4" bestFit="1" customWidth="1"/>
    <col min="10248" max="10248" width="12.3984375" style="4" bestFit="1" customWidth="1"/>
    <col min="10249" max="10250" width="13.86328125" style="4" bestFit="1" customWidth="1"/>
    <col min="10251" max="10251" width="14.86328125" style="4" bestFit="1" customWidth="1"/>
    <col min="10252" max="10490" width="9.1328125" style="4"/>
    <col min="10491" max="10491" width="15.3984375" style="4" bestFit="1" customWidth="1"/>
    <col min="10492" max="10492" width="11.1328125" style="4" bestFit="1" customWidth="1"/>
    <col min="10493" max="10493" width="14.59765625" style="4" bestFit="1" customWidth="1"/>
    <col min="10494" max="10494" width="17.3984375" style="4" bestFit="1" customWidth="1"/>
    <col min="10495" max="10495" width="17.59765625" style="4" bestFit="1" customWidth="1"/>
    <col min="10496" max="10496" width="14.73046875" style="4" bestFit="1" customWidth="1"/>
    <col min="10497" max="10497" width="14.3984375" style="4" bestFit="1" customWidth="1"/>
    <col min="10498" max="10498" width="12.1328125" style="4" bestFit="1" customWidth="1"/>
    <col min="10499" max="10499" width="12.3984375" style="4" bestFit="1" customWidth="1"/>
    <col min="10500" max="10501" width="13.86328125" style="4" bestFit="1" customWidth="1"/>
    <col min="10502" max="10502" width="14.86328125" style="4" bestFit="1" customWidth="1"/>
    <col min="10503" max="10503" width="12.1328125" style="4" bestFit="1" customWidth="1"/>
    <col min="10504" max="10504" width="12.3984375" style="4" bestFit="1" customWidth="1"/>
    <col min="10505" max="10506" width="13.86328125" style="4" bestFit="1" customWidth="1"/>
    <col min="10507" max="10507" width="14.86328125" style="4" bestFit="1" customWidth="1"/>
    <col min="10508" max="10746" width="9.1328125" style="4"/>
    <col min="10747" max="10747" width="15.3984375" style="4" bestFit="1" customWidth="1"/>
    <col min="10748" max="10748" width="11.1328125" style="4" bestFit="1" customWidth="1"/>
    <col min="10749" max="10749" width="14.59765625" style="4" bestFit="1" customWidth="1"/>
    <col min="10750" max="10750" width="17.3984375" style="4" bestFit="1" customWidth="1"/>
    <col min="10751" max="10751" width="17.59765625" style="4" bestFit="1" customWidth="1"/>
    <col min="10752" max="10752" width="14.73046875" style="4" bestFit="1" customWidth="1"/>
    <col min="10753" max="10753" width="14.3984375" style="4" bestFit="1" customWidth="1"/>
    <col min="10754" max="10754" width="12.1328125" style="4" bestFit="1" customWidth="1"/>
    <col min="10755" max="10755" width="12.3984375" style="4" bestFit="1" customWidth="1"/>
    <col min="10756" max="10757" width="13.86328125" style="4" bestFit="1" customWidth="1"/>
    <col min="10758" max="10758" width="14.86328125" style="4" bestFit="1" customWidth="1"/>
    <col min="10759" max="10759" width="12.1328125" style="4" bestFit="1" customWidth="1"/>
    <col min="10760" max="10760" width="12.3984375" style="4" bestFit="1" customWidth="1"/>
    <col min="10761" max="10762" width="13.86328125" style="4" bestFit="1" customWidth="1"/>
    <col min="10763" max="10763" width="14.86328125" style="4" bestFit="1" customWidth="1"/>
    <col min="10764" max="11002" width="9.1328125" style="4"/>
    <col min="11003" max="11003" width="15.3984375" style="4" bestFit="1" customWidth="1"/>
    <col min="11004" max="11004" width="11.1328125" style="4" bestFit="1" customWidth="1"/>
    <col min="11005" max="11005" width="14.59765625" style="4" bestFit="1" customWidth="1"/>
    <col min="11006" max="11006" width="17.3984375" style="4" bestFit="1" customWidth="1"/>
    <col min="11007" max="11007" width="17.59765625" style="4" bestFit="1" customWidth="1"/>
    <col min="11008" max="11008" width="14.73046875" style="4" bestFit="1" customWidth="1"/>
    <col min="11009" max="11009" width="14.3984375" style="4" bestFit="1" customWidth="1"/>
    <col min="11010" max="11010" width="12.1328125" style="4" bestFit="1" customWidth="1"/>
    <col min="11011" max="11011" width="12.3984375" style="4" bestFit="1" customWidth="1"/>
    <col min="11012" max="11013" width="13.86328125" style="4" bestFit="1" customWidth="1"/>
    <col min="11014" max="11014" width="14.86328125" style="4" bestFit="1" customWidth="1"/>
    <col min="11015" max="11015" width="12.1328125" style="4" bestFit="1" customWidth="1"/>
    <col min="11016" max="11016" width="12.3984375" style="4" bestFit="1" customWidth="1"/>
    <col min="11017" max="11018" width="13.86328125" style="4" bestFit="1" customWidth="1"/>
    <col min="11019" max="11019" width="14.86328125" style="4" bestFit="1" customWidth="1"/>
    <col min="11020" max="11258" width="9.1328125" style="4"/>
    <col min="11259" max="11259" width="15.3984375" style="4" bestFit="1" customWidth="1"/>
    <col min="11260" max="11260" width="11.1328125" style="4" bestFit="1" customWidth="1"/>
    <col min="11261" max="11261" width="14.59765625" style="4" bestFit="1" customWidth="1"/>
    <col min="11262" max="11262" width="17.3984375" style="4" bestFit="1" customWidth="1"/>
    <col min="11263" max="11263" width="17.59765625" style="4" bestFit="1" customWidth="1"/>
    <col min="11264" max="11264" width="14.73046875" style="4" bestFit="1" customWidth="1"/>
    <col min="11265" max="11265" width="14.3984375" style="4" bestFit="1" customWidth="1"/>
    <col min="11266" max="11266" width="12.1328125" style="4" bestFit="1" customWidth="1"/>
    <col min="11267" max="11267" width="12.3984375" style="4" bestFit="1" customWidth="1"/>
    <col min="11268" max="11269" width="13.86328125" style="4" bestFit="1" customWidth="1"/>
    <col min="11270" max="11270" width="14.86328125" style="4" bestFit="1" customWidth="1"/>
    <col min="11271" max="11271" width="12.1328125" style="4" bestFit="1" customWidth="1"/>
    <col min="11272" max="11272" width="12.3984375" style="4" bestFit="1" customWidth="1"/>
    <col min="11273" max="11274" width="13.86328125" style="4" bestFit="1" customWidth="1"/>
    <col min="11275" max="11275" width="14.86328125" style="4" bestFit="1" customWidth="1"/>
    <col min="11276" max="11514" width="9.1328125" style="4"/>
    <col min="11515" max="11515" width="15.3984375" style="4" bestFit="1" customWidth="1"/>
    <col min="11516" max="11516" width="11.1328125" style="4" bestFit="1" customWidth="1"/>
    <col min="11517" max="11517" width="14.59765625" style="4" bestFit="1" customWidth="1"/>
    <col min="11518" max="11518" width="17.3984375" style="4" bestFit="1" customWidth="1"/>
    <col min="11519" max="11519" width="17.59765625" style="4" bestFit="1" customWidth="1"/>
    <col min="11520" max="11520" width="14.73046875" style="4" bestFit="1" customWidth="1"/>
    <col min="11521" max="11521" width="14.3984375" style="4" bestFit="1" customWidth="1"/>
    <col min="11522" max="11522" width="12.1328125" style="4" bestFit="1" customWidth="1"/>
    <col min="11523" max="11523" width="12.3984375" style="4" bestFit="1" customWidth="1"/>
    <col min="11524" max="11525" width="13.86328125" style="4" bestFit="1" customWidth="1"/>
    <col min="11526" max="11526" width="14.86328125" style="4" bestFit="1" customWidth="1"/>
    <col min="11527" max="11527" width="12.1328125" style="4" bestFit="1" customWidth="1"/>
    <col min="11528" max="11528" width="12.3984375" style="4" bestFit="1" customWidth="1"/>
    <col min="11529" max="11530" width="13.86328125" style="4" bestFit="1" customWidth="1"/>
    <col min="11531" max="11531" width="14.86328125" style="4" bestFit="1" customWidth="1"/>
    <col min="11532" max="11770" width="9.1328125" style="4"/>
    <col min="11771" max="11771" width="15.3984375" style="4" bestFit="1" customWidth="1"/>
    <col min="11772" max="11772" width="11.1328125" style="4" bestFit="1" customWidth="1"/>
    <col min="11773" max="11773" width="14.59765625" style="4" bestFit="1" customWidth="1"/>
    <col min="11774" max="11774" width="17.3984375" style="4" bestFit="1" customWidth="1"/>
    <col min="11775" max="11775" width="17.59765625" style="4" bestFit="1" customWidth="1"/>
    <col min="11776" max="11776" width="14.73046875" style="4" bestFit="1" customWidth="1"/>
    <col min="11777" max="11777" width="14.3984375" style="4" bestFit="1" customWidth="1"/>
    <col min="11778" max="11778" width="12.1328125" style="4" bestFit="1" customWidth="1"/>
    <col min="11779" max="11779" width="12.3984375" style="4" bestFit="1" customWidth="1"/>
    <col min="11780" max="11781" width="13.86328125" style="4" bestFit="1" customWidth="1"/>
    <col min="11782" max="11782" width="14.86328125" style="4" bestFit="1" customWidth="1"/>
    <col min="11783" max="11783" width="12.1328125" style="4" bestFit="1" customWidth="1"/>
    <col min="11784" max="11784" width="12.3984375" style="4" bestFit="1" customWidth="1"/>
    <col min="11785" max="11786" width="13.86328125" style="4" bestFit="1" customWidth="1"/>
    <col min="11787" max="11787" width="14.86328125" style="4" bestFit="1" customWidth="1"/>
    <col min="11788" max="12026" width="9.1328125" style="4"/>
    <col min="12027" max="12027" width="15.3984375" style="4" bestFit="1" customWidth="1"/>
    <col min="12028" max="12028" width="11.1328125" style="4" bestFit="1" customWidth="1"/>
    <col min="12029" max="12029" width="14.59765625" style="4" bestFit="1" customWidth="1"/>
    <col min="12030" max="12030" width="17.3984375" style="4" bestFit="1" customWidth="1"/>
    <col min="12031" max="12031" width="17.59765625" style="4" bestFit="1" customWidth="1"/>
    <col min="12032" max="12032" width="14.73046875" style="4" bestFit="1" customWidth="1"/>
    <col min="12033" max="12033" width="14.3984375" style="4" bestFit="1" customWidth="1"/>
    <col min="12034" max="12034" width="12.1328125" style="4" bestFit="1" customWidth="1"/>
    <col min="12035" max="12035" width="12.3984375" style="4" bestFit="1" customWidth="1"/>
    <col min="12036" max="12037" width="13.86328125" style="4" bestFit="1" customWidth="1"/>
    <col min="12038" max="12038" width="14.86328125" style="4" bestFit="1" customWidth="1"/>
    <col min="12039" max="12039" width="12.1328125" style="4" bestFit="1" customWidth="1"/>
    <col min="12040" max="12040" width="12.3984375" style="4" bestFit="1" customWidth="1"/>
    <col min="12041" max="12042" width="13.86328125" style="4" bestFit="1" customWidth="1"/>
    <col min="12043" max="12043" width="14.86328125" style="4" bestFit="1" customWidth="1"/>
    <col min="12044" max="12282" width="9.1328125" style="4"/>
    <col min="12283" max="12283" width="15.3984375" style="4" bestFit="1" customWidth="1"/>
    <col min="12284" max="12284" width="11.1328125" style="4" bestFit="1" customWidth="1"/>
    <col min="12285" max="12285" width="14.59765625" style="4" bestFit="1" customWidth="1"/>
    <col min="12286" max="12286" width="17.3984375" style="4" bestFit="1" customWidth="1"/>
    <col min="12287" max="12287" width="17.59765625" style="4" bestFit="1" customWidth="1"/>
    <col min="12288" max="12288" width="14.73046875" style="4" bestFit="1" customWidth="1"/>
    <col min="12289" max="12289" width="14.3984375" style="4" bestFit="1" customWidth="1"/>
    <col min="12290" max="12290" width="12.1328125" style="4" bestFit="1" customWidth="1"/>
    <col min="12291" max="12291" width="12.3984375" style="4" bestFit="1" customWidth="1"/>
    <col min="12292" max="12293" width="13.86328125" style="4" bestFit="1" customWidth="1"/>
    <col min="12294" max="12294" width="14.86328125" style="4" bestFit="1" customWidth="1"/>
    <col min="12295" max="12295" width="12.1328125" style="4" bestFit="1" customWidth="1"/>
    <col min="12296" max="12296" width="12.3984375" style="4" bestFit="1" customWidth="1"/>
    <col min="12297" max="12298" width="13.86328125" style="4" bestFit="1" customWidth="1"/>
    <col min="12299" max="12299" width="14.86328125" style="4" bestFit="1" customWidth="1"/>
    <col min="12300" max="12538" width="9.1328125" style="4"/>
    <col min="12539" max="12539" width="15.3984375" style="4" bestFit="1" customWidth="1"/>
    <col min="12540" max="12540" width="11.1328125" style="4" bestFit="1" customWidth="1"/>
    <col min="12541" max="12541" width="14.59765625" style="4" bestFit="1" customWidth="1"/>
    <col min="12542" max="12542" width="17.3984375" style="4" bestFit="1" customWidth="1"/>
    <col min="12543" max="12543" width="17.59765625" style="4" bestFit="1" customWidth="1"/>
    <col min="12544" max="12544" width="14.73046875" style="4" bestFit="1" customWidth="1"/>
    <col min="12545" max="12545" width="14.3984375" style="4" bestFit="1" customWidth="1"/>
    <col min="12546" max="12546" width="12.1328125" style="4" bestFit="1" customWidth="1"/>
    <col min="12547" max="12547" width="12.3984375" style="4" bestFit="1" customWidth="1"/>
    <col min="12548" max="12549" width="13.86328125" style="4" bestFit="1" customWidth="1"/>
    <col min="12550" max="12550" width="14.86328125" style="4" bestFit="1" customWidth="1"/>
    <col min="12551" max="12551" width="12.1328125" style="4" bestFit="1" customWidth="1"/>
    <col min="12552" max="12552" width="12.3984375" style="4" bestFit="1" customWidth="1"/>
    <col min="12553" max="12554" width="13.86328125" style="4" bestFit="1" customWidth="1"/>
    <col min="12555" max="12555" width="14.86328125" style="4" bestFit="1" customWidth="1"/>
    <col min="12556" max="12794" width="9.1328125" style="4"/>
    <col min="12795" max="12795" width="15.3984375" style="4" bestFit="1" customWidth="1"/>
    <col min="12796" max="12796" width="11.1328125" style="4" bestFit="1" customWidth="1"/>
    <col min="12797" max="12797" width="14.59765625" style="4" bestFit="1" customWidth="1"/>
    <col min="12798" max="12798" width="17.3984375" style="4" bestFit="1" customWidth="1"/>
    <col min="12799" max="12799" width="17.59765625" style="4" bestFit="1" customWidth="1"/>
    <col min="12800" max="12800" width="14.73046875" style="4" bestFit="1" customWidth="1"/>
    <col min="12801" max="12801" width="14.3984375" style="4" bestFit="1" customWidth="1"/>
    <col min="12802" max="12802" width="12.1328125" style="4" bestFit="1" customWidth="1"/>
    <col min="12803" max="12803" width="12.3984375" style="4" bestFit="1" customWidth="1"/>
    <col min="12804" max="12805" width="13.86328125" style="4" bestFit="1" customWidth="1"/>
    <col min="12806" max="12806" width="14.86328125" style="4" bestFit="1" customWidth="1"/>
    <col min="12807" max="12807" width="12.1328125" style="4" bestFit="1" customWidth="1"/>
    <col min="12808" max="12808" width="12.3984375" style="4" bestFit="1" customWidth="1"/>
    <col min="12809" max="12810" width="13.86328125" style="4" bestFit="1" customWidth="1"/>
    <col min="12811" max="12811" width="14.86328125" style="4" bestFit="1" customWidth="1"/>
    <col min="12812" max="13050" width="9.1328125" style="4"/>
    <col min="13051" max="13051" width="15.3984375" style="4" bestFit="1" customWidth="1"/>
    <col min="13052" max="13052" width="11.1328125" style="4" bestFit="1" customWidth="1"/>
    <col min="13053" max="13053" width="14.59765625" style="4" bestFit="1" customWidth="1"/>
    <col min="13054" max="13054" width="17.3984375" style="4" bestFit="1" customWidth="1"/>
    <col min="13055" max="13055" width="17.59765625" style="4" bestFit="1" customWidth="1"/>
    <col min="13056" max="13056" width="14.73046875" style="4" bestFit="1" customWidth="1"/>
    <col min="13057" max="13057" width="14.3984375" style="4" bestFit="1" customWidth="1"/>
    <col min="13058" max="13058" width="12.1328125" style="4" bestFit="1" customWidth="1"/>
    <col min="13059" max="13059" width="12.3984375" style="4" bestFit="1" customWidth="1"/>
    <col min="13060" max="13061" width="13.86328125" style="4" bestFit="1" customWidth="1"/>
    <col min="13062" max="13062" width="14.86328125" style="4" bestFit="1" customWidth="1"/>
    <col min="13063" max="13063" width="12.1328125" style="4" bestFit="1" customWidth="1"/>
    <col min="13064" max="13064" width="12.3984375" style="4" bestFit="1" customWidth="1"/>
    <col min="13065" max="13066" width="13.86328125" style="4" bestFit="1" customWidth="1"/>
    <col min="13067" max="13067" width="14.86328125" style="4" bestFit="1" customWidth="1"/>
    <col min="13068" max="13306" width="9.1328125" style="4"/>
    <col min="13307" max="13307" width="15.3984375" style="4" bestFit="1" customWidth="1"/>
    <col min="13308" max="13308" width="11.1328125" style="4" bestFit="1" customWidth="1"/>
    <col min="13309" max="13309" width="14.59765625" style="4" bestFit="1" customWidth="1"/>
    <col min="13310" max="13310" width="17.3984375" style="4" bestFit="1" customWidth="1"/>
    <col min="13311" max="13311" width="17.59765625" style="4" bestFit="1" customWidth="1"/>
    <col min="13312" max="13312" width="14.73046875" style="4" bestFit="1" customWidth="1"/>
    <col min="13313" max="13313" width="14.3984375" style="4" bestFit="1" customWidth="1"/>
    <col min="13314" max="13314" width="12.1328125" style="4" bestFit="1" customWidth="1"/>
    <col min="13315" max="13315" width="12.3984375" style="4" bestFit="1" customWidth="1"/>
    <col min="13316" max="13317" width="13.86328125" style="4" bestFit="1" customWidth="1"/>
    <col min="13318" max="13318" width="14.86328125" style="4" bestFit="1" customWidth="1"/>
    <col min="13319" max="13319" width="12.1328125" style="4" bestFit="1" customWidth="1"/>
    <col min="13320" max="13320" width="12.3984375" style="4" bestFit="1" customWidth="1"/>
    <col min="13321" max="13322" width="13.86328125" style="4" bestFit="1" customWidth="1"/>
    <col min="13323" max="13323" width="14.86328125" style="4" bestFit="1" customWidth="1"/>
    <col min="13324" max="13562" width="9.1328125" style="4"/>
    <col min="13563" max="13563" width="15.3984375" style="4" bestFit="1" customWidth="1"/>
    <col min="13564" max="13564" width="11.1328125" style="4" bestFit="1" customWidth="1"/>
    <col min="13565" max="13565" width="14.59765625" style="4" bestFit="1" customWidth="1"/>
    <col min="13566" max="13566" width="17.3984375" style="4" bestFit="1" customWidth="1"/>
    <col min="13567" max="13567" width="17.59765625" style="4" bestFit="1" customWidth="1"/>
    <col min="13568" max="13568" width="14.73046875" style="4" bestFit="1" customWidth="1"/>
    <col min="13569" max="13569" width="14.3984375" style="4" bestFit="1" customWidth="1"/>
    <col min="13570" max="13570" width="12.1328125" style="4" bestFit="1" customWidth="1"/>
    <col min="13571" max="13571" width="12.3984375" style="4" bestFit="1" customWidth="1"/>
    <col min="13572" max="13573" width="13.86328125" style="4" bestFit="1" customWidth="1"/>
    <col min="13574" max="13574" width="14.86328125" style="4" bestFit="1" customWidth="1"/>
    <col min="13575" max="13575" width="12.1328125" style="4" bestFit="1" customWidth="1"/>
    <col min="13576" max="13576" width="12.3984375" style="4" bestFit="1" customWidth="1"/>
    <col min="13577" max="13578" width="13.86328125" style="4" bestFit="1" customWidth="1"/>
    <col min="13579" max="13579" width="14.86328125" style="4" bestFit="1" customWidth="1"/>
    <col min="13580" max="13818" width="9.1328125" style="4"/>
    <col min="13819" max="13819" width="15.3984375" style="4" bestFit="1" customWidth="1"/>
    <col min="13820" max="13820" width="11.1328125" style="4" bestFit="1" customWidth="1"/>
    <col min="13821" max="13821" width="14.59765625" style="4" bestFit="1" customWidth="1"/>
    <col min="13822" max="13822" width="17.3984375" style="4" bestFit="1" customWidth="1"/>
    <col min="13823" max="13823" width="17.59765625" style="4" bestFit="1" customWidth="1"/>
    <col min="13824" max="13824" width="14.73046875" style="4" bestFit="1" customWidth="1"/>
    <col min="13825" max="13825" width="14.3984375" style="4" bestFit="1" customWidth="1"/>
    <col min="13826" max="13826" width="12.1328125" style="4" bestFit="1" customWidth="1"/>
    <col min="13827" max="13827" width="12.3984375" style="4" bestFit="1" customWidth="1"/>
    <col min="13828" max="13829" width="13.86328125" style="4" bestFit="1" customWidth="1"/>
    <col min="13830" max="13830" width="14.86328125" style="4" bestFit="1" customWidth="1"/>
    <col min="13831" max="13831" width="12.1328125" style="4" bestFit="1" customWidth="1"/>
    <col min="13832" max="13832" width="12.3984375" style="4" bestFit="1" customWidth="1"/>
    <col min="13833" max="13834" width="13.86328125" style="4" bestFit="1" customWidth="1"/>
    <col min="13835" max="13835" width="14.86328125" style="4" bestFit="1" customWidth="1"/>
    <col min="13836" max="14074" width="9.1328125" style="4"/>
    <col min="14075" max="14075" width="15.3984375" style="4" bestFit="1" customWidth="1"/>
    <col min="14076" max="14076" width="11.1328125" style="4" bestFit="1" customWidth="1"/>
    <col min="14077" max="14077" width="14.59765625" style="4" bestFit="1" customWidth="1"/>
    <col min="14078" max="14078" width="17.3984375" style="4" bestFit="1" customWidth="1"/>
    <col min="14079" max="14079" width="17.59765625" style="4" bestFit="1" customWidth="1"/>
    <col min="14080" max="14080" width="14.73046875" style="4" bestFit="1" customWidth="1"/>
    <col min="14081" max="14081" width="14.3984375" style="4" bestFit="1" customWidth="1"/>
    <col min="14082" max="14082" width="12.1328125" style="4" bestFit="1" customWidth="1"/>
    <col min="14083" max="14083" width="12.3984375" style="4" bestFit="1" customWidth="1"/>
    <col min="14084" max="14085" width="13.86328125" style="4" bestFit="1" customWidth="1"/>
    <col min="14086" max="14086" width="14.86328125" style="4" bestFit="1" customWidth="1"/>
    <col min="14087" max="14087" width="12.1328125" style="4" bestFit="1" customWidth="1"/>
    <col min="14088" max="14088" width="12.3984375" style="4" bestFit="1" customWidth="1"/>
    <col min="14089" max="14090" width="13.86328125" style="4" bestFit="1" customWidth="1"/>
    <col min="14091" max="14091" width="14.86328125" style="4" bestFit="1" customWidth="1"/>
    <col min="14092" max="14330" width="9.1328125" style="4"/>
    <col min="14331" max="14331" width="15.3984375" style="4" bestFit="1" customWidth="1"/>
    <col min="14332" max="14332" width="11.1328125" style="4" bestFit="1" customWidth="1"/>
    <col min="14333" max="14333" width="14.59765625" style="4" bestFit="1" customWidth="1"/>
    <col min="14334" max="14334" width="17.3984375" style="4" bestFit="1" customWidth="1"/>
    <col min="14335" max="14335" width="17.59765625" style="4" bestFit="1" customWidth="1"/>
    <col min="14336" max="14336" width="14.73046875" style="4" bestFit="1" customWidth="1"/>
    <col min="14337" max="14337" width="14.3984375" style="4" bestFit="1" customWidth="1"/>
    <col min="14338" max="14338" width="12.1328125" style="4" bestFit="1" customWidth="1"/>
    <col min="14339" max="14339" width="12.3984375" style="4" bestFit="1" customWidth="1"/>
    <col min="14340" max="14341" width="13.86328125" style="4" bestFit="1" customWidth="1"/>
    <col min="14342" max="14342" width="14.86328125" style="4" bestFit="1" customWidth="1"/>
    <col min="14343" max="14343" width="12.1328125" style="4" bestFit="1" customWidth="1"/>
    <col min="14344" max="14344" width="12.3984375" style="4" bestFit="1" customWidth="1"/>
    <col min="14345" max="14346" width="13.86328125" style="4" bestFit="1" customWidth="1"/>
    <col min="14347" max="14347" width="14.86328125" style="4" bestFit="1" customWidth="1"/>
    <col min="14348" max="14586" width="9.1328125" style="4"/>
    <col min="14587" max="14587" width="15.3984375" style="4" bestFit="1" customWidth="1"/>
    <col min="14588" max="14588" width="11.1328125" style="4" bestFit="1" customWidth="1"/>
    <col min="14589" max="14589" width="14.59765625" style="4" bestFit="1" customWidth="1"/>
    <col min="14590" max="14590" width="17.3984375" style="4" bestFit="1" customWidth="1"/>
    <col min="14591" max="14591" width="17.59765625" style="4" bestFit="1" customWidth="1"/>
    <col min="14592" max="14592" width="14.73046875" style="4" bestFit="1" customWidth="1"/>
    <col min="14593" max="14593" width="14.3984375" style="4" bestFit="1" customWidth="1"/>
    <col min="14594" max="14594" width="12.1328125" style="4" bestFit="1" customWidth="1"/>
    <col min="14595" max="14595" width="12.3984375" style="4" bestFit="1" customWidth="1"/>
    <col min="14596" max="14597" width="13.86328125" style="4" bestFit="1" customWidth="1"/>
    <col min="14598" max="14598" width="14.86328125" style="4" bestFit="1" customWidth="1"/>
    <col min="14599" max="14599" width="12.1328125" style="4" bestFit="1" customWidth="1"/>
    <col min="14600" max="14600" width="12.3984375" style="4" bestFit="1" customWidth="1"/>
    <col min="14601" max="14602" width="13.86328125" style="4" bestFit="1" customWidth="1"/>
    <col min="14603" max="14603" width="14.86328125" style="4" bestFit="1" customWidth="1"/>
    <col min="14604" max="14842" width="9.1328125" style="4"/>
    <col min="14843" max="14843" width="15.3984375" style="4" bestFit="1" customWidth="1"/>
    <col min="14844" max="14844" width="11.1328125" style="4" bestFit="1" customWidth="1"/>
    <col min="14845" max="14845" width="14.59765625" style="4" bestFit="1" customWidth="1"/>
    <col min="14846" max="14846" width="17.3984375" style="4" bestFit="1" customWidth="1"/>
    <col min="14847" max="14847" width="17.59765625" style="4" bestFit="1" customWidth="1"/>
    <col min="14848" max="14848" width="14.73046875" style="4" bestFit="1" customWidth="1"/>
    <col min="14849" max="14849" width="14.3984375" style="4" bestFit="1" customWidth="1"/>
    <col min="14850" max="14850" width="12.1328125" style="4" bestFit="1" customWidth="1"/>
    <col min="14851" max="14851" width="12.3984375" style="4" bestFit="1" customWidth="1"/>
    <col min="14852" max="14853" width="13.86328125" style="4" bestFit="1" customWidth="1"/>
    <col min="14854" max="14854" width="14.86328125" style="4" bestFit="1" customWidth="1"/>
    <col min="14855" max="14855" width="12.1328125" style="4" bestFit="1" customWidth="1"/>
    <col min="14856" max="14856" width="12.3984375" style="4" bestFit="1" customWidth="1"/>
    <col min="14857" max="14858" width="13.86328125" style="4" bestFit="1" customWidth="1"/>
    <col min="14859" max="14859" width="14.86328125" style="4" bestFit="1" customWidth="1"/>
    <col min="14860" max="15098" width="9.1328125" style="4"/>
    <col min="15099" max="15099" width="15.3984375" style="4" bestFit="1" customWidth="1"/>
    <col min="15100" max="15100" width="11.1328125" style="4" bestFit="1" customWidth="1"/>
    <col min="15101" max="15101" width="14.59765625" style="4" bestFit="1" customWidth="1"/>
    <col min="15102" max="15102" width="17.3984375" style="4" bestFit="1" customWidth="1"/>
    <col min="15103" max="15103" width="17.59765625" style="4" bestFit="1" customWidth="1"/>
    <col min="15104" max="15104" width="14.73046875" style="4" bestFit="1" customWidth="1"/>
    <col min="15105" max="15105" width="14.3984375" style="4" bestFit="1" customWidth="1"/>
    <col min="15106" max="15106" width="12.1328125" style="4" bestFit="1" customWidth="1"/>
    <col min="15107" max="15107" width="12.3984375" style="4" bestFit="1" customWidth="1"/>
    <col min="15108" max="15109" width="13.86328125" style="4" bestFit="1" customWidth="1"/>
    <col min="15110" max="15110" width="14.86328125" style="4" bestFit="1" customWidth="1"/>
    <col min="15111" max="15111" width="12.1328125" style="4" bestFit="1" customWidth="1"/>
    <col min="15112" max="15112" width="12.3984375" style="4" bestFit="1" customWidth="1"/>
    <col min="15113" max="15114" width="13.86328125" style="4" bestFit="1" customWidth="1"/>
    <col min="15115" max="15115" width="14.86328125" style="4" bestFit="1" customWidth="1"/>
    <col min="15116" max="15354" width="9.1328125" style="4"/>
    <col min="15355" max="15355" width="15.3984375" style="4" bestFit="1" customWidth="1"/>
    <col min="15356" max="15356" width="11.1328125" style="4" bestFit="1" customWidth="1"/>
    <col min="15357" max="15357" width="14.59765625" style="4" bestFit="1" customWidth="1"/>
    <col min="15358" max="15358" width="17.3984375" style="4" bestFit="1" customWidth="1"/>
    <col min="15359" max="15359" width="17.59765625" style="4" bestFit="1" customWidth="1"/>
    <col min="15360" max="15360" width="14.73046875" style="4" bestFit="1" customWidth="1"/>
    <col min="15361" max="15361" width="14.3984375" style="4" bestFit="1" customWidth="1"/>
    <col min="15362" max="15362" width="12.1328125" style="4" bestFit="1" customWidth="1"/>
    <col min="15363" max="15363" width="12.3984375" style="4" bestFit="1" customWidth="1"/>
    <col min="15364" max="15365" width="13.86328125" style="4" bestFit="1" customWidth="1"/>
    <col min="15366" max="15366" width="14.86328125" style="4" bestFit="1" customWidth="1"/>
    <col min="15367" max="15367" width="12.1328125" style="4" bestFit="1" customWidth="1"/>
    <col min="15368" max="15368" width="12.3984375" style="4" bestFit="1" customWidth="1"/>
    <col min="15369" max="15370" width="13.86328125" style="4" bestFit="1" customWidth="1"/>
    <col min="15371" max="15371" width="14.86328125" style="4" bestFit="1" customWidth="1"/>
    <col min="15372" max="15610" width="9.1328125" style="4"/>
    <col min="15611" max="15611" width="15.3984375" style="4" bestFit="1" customWidth="1"/>
    <col min="15612" max="15612" width="11.1328125" style="4" bestFit="1" customWidth="1"/>
    <col min="15613" max="15613" width="14.59765625" style="4" bestFit="1" customWidth="1"/>
    <col min="15614" max="15614" width="17.3984375" style="4" bestFit="1" customWidth="1"/>
    <col min="15615" max="15615" width="17.59765625" style="4" bestFit="1" customWidth="1"/>
    <col min="15616" max="15616" width="14.73046875" style="4" bestFit="1" customWidth="1"/>
    <col min="15617" max="15617" width="14.3984375" style="4" bestFit="1" customWidth="1"/>
    <col min="15618" max="15618" width="12.1328125" style="4" bestFit="1" customWidth="1"/>
    <col min="15619" max="15619" width="12.3984375" style="4" bestFit="1" customWidth="1"/>
    <col min="15620" max="15621" width="13.86328125" style="4" bestFit="1" customWidth="1"/>
    <col min="15622" max="15622" width="14.86328125" style="4" bestFit="1" customWidth="1"/>
    <col min="15623" max="15623" width="12.1328125" style="4" bestFit="1" customWidth="1"/>
    <col min="15624" max="15624" width="12.3984375" style="4" bestFit="1" customWidth="1"/>
    <col min="15625" max="15626" width="13.86328125" style="4" bestFit="1" customWidth="1"/>
    <col min="15627" max="15627" width="14.86328125" style="4" bestFit="1" customWidth="1"/>
    <col min="15628" max="15866" width="9.1328125" style="4"/>
    <col min="15867" max="15867" width="15.3984375" style="4" bestFit="1" customWidth="1"/>
    <col min="15868" max="15868" width="11.1328125" style="4" bestFit="1" customWidth="1"/>
    <col min="15869" max="15869" width="14.59765625" style="4" bestFit="1" customWidth="1"/>
    <col min="15870" max="15870" width="17.3984375" style="4" bestFit="1" customWidth="1"/>
    <col min="15871" max="15871" width="17.59765625" style="4" bestFit="1" customWidth="1"/>
    <col min="15872" max="15872" width="14.73046875" style="4" bestFit="1" customWidth="1"/>
    <col min="15873" max="15873" width="14.3984375" style="4" bestFit="1" customWidth="1"/>
    <col min="15874" max="15874" width="12.1328125" style="4" bestFit="1" customWidth="1"/>
    <col min="15875" max="15875" width="12.3984375" style="4" bestFit="1" customWidth="1"/>
    <col min="15876" max="15877" width="13.86328125" style="4" bestFit="1" customWidth="1"/>
    <col min="15878" max="15878" width="14.86328125" style="4" bestFit="1" customWidth="1"/>
    <col min="15879" max="15879" width="12.1328125" style="4" bestFit="1" customWidth="1"/>
    <col min="15880" max="15880" width="12.3984375" style="4" bestFit="1" customWidth="1"/>
    <col min="15881" max="15882" width="13.86328125" style="4" bestFit="1" customWidth="1"/>
    <col min="15883" max="15883" width="14.86328125" style="4" bestFit="1" customWidth="1"/>
    <col min="15884" max="16122" width="9.1328125" style="4"/>
    <col min="16123" max="16123" width="15.3984375" style="4" bestFit="1" customWidth="1"/>
    <col min="16124" max="16124" width="11.1328125" style="4" bestFit="1" customWidth="1"/>
    <col min="16125" max="16125" width="14.59765625" style="4" bestFit="1" customWidth="1"/>
    <col min="16126" max="16126" width="17.3984375" style="4" bestFit="1" customWidth="1"/>
    <col min="16127" max="16127" width="17.59765625" style="4" bestFit="1" customWidth="1"/>
    <col min="16128" max="16128" width="14.73046875" style="4" bestFit="1" customWidth="1"/>
    <col min="16129" max="16129" width="14.3984375" style="4" bestFit="1" customWidth="1"/>
    <col min="16130" max="16130" width="12.1328125" style="4" bestFit="1" customWidth="1"/>
    <col min="16131" max="16131" width="12.3984375" style="4" bestFit="1" customWidth="1"/>
    <col min="16132" max="16133" width="13.86328125" style="4" bestFit="1" customWidth="1"/>
    <col min="16134" max="16134" width="14.86328125" style="4" bestFit="1" customWidth="1"/>
    <col min="16135" max="16135" width="12.1328125" style="4" bestFit="1" customWidth="1"/>
    <col min="16136" max="16136" width="12.3984375" style="4" bestFit="1" customWidth="1"/>
    <col min="16137" max="16138" width="13.86328125" style="4" bestFit="1" customWidth="1"/>
    <col min="16139" max="16139" width="14.86328125" style="4" bestFit="1" customWidth="1"/>
    <col min="16140" max="16379" width="9.1328125" style="4"/>
    <col min="16380" max="16384" width="9.1328125" style="4" customWidth="1"/>
  </cols>
  <sheetData>
    <row r="1" spans="1:18">
      <c r="A1" s="57" t="s">
        <v>323</v>
      </c>
      <c r="B1" s="87" t="s">
        <v>324</v>
      </c>
      <c r="C1" s="58" t="s">
        <v>215</v>
      </c>
      <c r="D1" s="58" t="s">
        <v>216</v>
      </c>
      <c r="E1" s="58" t="s">
        <v>217</v>
      </c>
      <c r="F1" s="58" t="s">
        <v>218</v>
      </c>
      <c r="G1" s="58" t="s">
        <v>220</v>
      </c>
      <c r="H1" s="58" t="s">
        <v>219</v>
      </c>
      <c r="I1" s="58" t="s">
        <v>221</v>
      </c>
      <c r="J1" s="58" t="s">
        <v>222</v>
      </c>
      <c r="K1" s="58" t="s">
        <v>223</v>
      </c>
      <c r="L1" s="58" t="s">
        <v>224</v>
      </c>
      <c r="M1" s="58" t="s">
        <v>225</v>
      </c>
      <c r="N1" s="58" t="s">
        <v>226</v>
      </c>
      <c r="O1" s="58" t="s">
        <v>227</v>
      </c>
      <c r="P1" s="58" t="s">
        <v>228</v>
      </c>
      <c r="Q1" s="58" t="s">
        <v>229</v>
      </c>
      <c r="R1" s="58" t="s">
        <v>230</v>
      </c>
    </row>
    <row r="2" spans="1:18">
      <c r="A2" s="60" t="s">
        <v>5</v>
      </c>
      <c r="B2" s="76" t="s">
        <v>6</v>
      </c>
      <c r="C2" s="61">
        <f>IFERROR((d_DL/(Rad_Spec!V2*d_IFD_iw*d_EF_iw))*1,".")</f>
        <v>9.5262863582626714E-2</v>
      </c>
      <c r="D2" s="61">
        <f>IFERROR((d_DL/(Rad_Spec!AN2*d_IRA_iw*(1/d_PEFm_pp)*d_SLF*d_ET_iw*d_EF_iw))*1,".")</f>
        <v>1.6414091092795734E-5</v>
      </c>
      <c r="E2" s="61">
        <f>IFERROR((d_DL/(Rad_Spec!AN2*d_IRA_iw*(1/d_PEF)*d_SLF*d_ET_iw*d_EF_iw))*1,".")</f>
        <v>1.200022205450387E-2</v>
      </c>
      <c r="F2" s="61">
        <f>IFERROR((d_DL/(Rad_Spec!AY2*d_GSF_i*d_Fam*d_Foffset*acf!C2*d_ET_iw*(1/24)*d_EF_iw*(1/365)))*1,".")</f>
        <v>709.61972159576953</v>
      </c>
      <c r="G2" s="61">
        <f t="shared" ref="G2" si="0">(IF(AND(C2&lt;&gt;".",E2&lt;&gt;".",F2&lt;&gt;"."),1/((1/C2)+(1/E2)+(1/F2)),IF(AND(C2&lt;&gt;".",E2&lt;&gt;".",F2="."), 1/((1/C2)+(1/E2)),IF(AND(C2&lt;&gt;".",E2=".",F2&lt;&gt;"."),1/((1/C2)+(1/F2)),IF(AND(C2=".",E2&lt;&gt;".",F2&lt;&gt;"."),1/((1/E2)+(1/F2)),IF(AND(C2&lt;&gt;".",E2=".",F2="."),1/(1/C2),IF(AND(C2=".",E2&lt;&gt;".",F2="."),1/(1/E2),IF(AND(C2=".",E2=".",F2&lt;&gt;"."),1/(1/F2),IF(AND(C2=".",E2=".",F2="."),".")))))))))</f>
        <v>1.0657518761601032E-2</v>
      </c>
      <c r="H2" s="61">
        <f t="shared" ref="H2" si="1">(IF(AND(C2&lt;&gt;".",D2&lt;&gt;".",F2&lt;&gt;"."),1/((1/C2)+(1/D2)+(1/F2)),IF(AND(C2&lt;&gt;".",D2&lt;&gt;".",F2="."), 1/((1/C2)+(1/D2)),IF(AND(C2&lt;&gt;".",D2=".",F2&lt;&gt;"."),1/((1/C2)+(1/F2)),IF(AND(C2=".",D2&lt;&gt;".",F2&lt;&gt;"."),1/((1/D2)+(1/F2)),IF(AND(C2&lt;&gt;".",D2=".",F2="."),1/(1/C2),IF(AND(C2=".",D2&lt;&gt;".",F2="."),1/(1/D2),IF(AND(C2=".",D2=".",F2&lt;&gt;"."),1/(1/F2),IF(AND(C2=".",D2=".",F2="."),".")))))))))</f>
        <v>1.6411263000944657E-5</v>
      </c>
      <c r="I2" s="74">
        <f>IFERROR((d_DL/(Rad_Spec!AV2*d_GSF_i*d_Fam*d_Foffset*Fsurf!C2*d_EF_iw*(1/365)*d_ET_iw*(1/24)))*1,".")</f>
        <v>147.00761054774961</v>
      </c>
      <c r="J2" s="61">
        <f>IFERROR((d_DL/(Rad_Spec!AZ2*d_GSF_i*d_Fam*d_Foffset*Fsurf!C2*d_EF_iw*(1/365)*d_ET_iw*(1/24)))*1,".")</f>
        <v>532.69082951361258</v>
      </c>
      <c r="K2" s="61">
        <f>IFERROR((d_DL/(Rad_Spec!BA2*d_GSF_i*d_Fam*d_Foffset*Fsurf!C2*d_EF_iw*(1/365)*d_ET_iw*(1/24)))*1,".")</f>
        <v>203.93702835790756</v>
      </c>
      <c r="L2" s="61">
        <f>IFERROR((d_DL/(Rad_Spec!BB2*d_GSF_i*d_Fam*d_Foffset*Fsurf!C2*d_EF_iw*(1/365)*d_ET_iw*(1/24)))*1,".")</f>
        <v>151.28419558186596</v>
      </c>
      <c r="M2" s="61">
        <f>IFERROR((d_DL/(Rad_Spec!AY2*d_GSF_i*d_Fam*d_Foffset*Fsurf!C2*d_EF_iw*(1/365)*d_ET_iw*(1/24)))*1,".")</f>
        <v>503.63358523475478</v>
      </c>
      <c r="N2" s="61">
        <f>IFERROR((d_DL/(Rad_Spec!AV2*d_GSF_i*d_Fam*d_Foffset*acf!D2*d_ET_iw*(1/24)*d_EF_iw*(1/365)))*1,".")</f>
        <v>207.13372326177921</v>
      </c>
      <c r="O2" s="61">
        <f>IFERROR((d_DL/(Rad_Spec!AZ2*d_GSF_i*d_Fam*d_Foffset*acf!E2*d_ET_iw*(1/24)*d_EF_iw*(1/365)))*1,".")</f>
        <v>750.56137878467996</v>
      </c>
      <c r="P2" s="61">
        <f>IFERROR((d_DL/(Rad_Spec!BA2*d_GSF_i*d_Fam*d_Foffset*acf!F2*d_ET_iw*(1/24)*d_EF_iw*(1/365)))*1,".")</f>
        <v>287.3472729562917</v>
      </c>
      <c r="Q2" s="61">
        <f>IFERROR((d_DL/(Rad_Spec!BB2*d_GSF_i*d_Fam*d_Foffset*acf!G2*d_ET_iw*(1/24)*d_EF_iw*(1/365)))*1,".")</f>
        <v>213.15943157484912</v>
      </c>
      <c r="R2" s="61">
        <f>IFERROR((d_DL/(Rad_Spec!AY2*d_GSF_i*d_Fam*d_Foffset*acf!C2*d_ET_iw*(1/24)*d_EF_iw*(1/365)))*1,".")</f>
        <v>709.61972159576953</v>
      </c>
    </row>
    <row r="3" spans="1:18">
      <c r="A3" s="62" t="s">
        <v>7</v>
      </c>
      <c r="B3" s="76" t="s">
        <v>8</v>
      </c>
      <c r="C3" s="61">
        <f>IFERROR((d_DL/(Rad_Spec!V3*d_IFD_iw*d_EF_iw))*1,".")</f>
        <v>1.8025228109261722E-2</v>
      </c>
      <c r="D3" s="61">
        <f>IFERROR((d_DL/(Rad_Spec!AN3*d_IRA_iw*(1/d_PEFm_pp)*d_SLF*d_ET_iw*d_EF_iw))*1,".")</f>
        <v>1.5359975151056557E-6</v>
      </c>
      <c r="E3" s="61">
        <f>IFERROR((d_DL/(Rad_Spec!AN3*d_IRA_iw*(1/d_PEF)*d_SLF*d_ET_iw*d_EF_iw))*1,".")</f>
        <v>1.1229565592288026E-3</v>
      </c>
      <c r="F3" s="61">
        <f>IFERROR((d_DL/(Rad_Spec!AY3*d_GSF_i*d_Fam*d_Foffset*acf!C3*d_ET_iw*(1/24)*d_EF_iw*(1/365)))*1,".")</f>
        <v>429.67799656257608</v>
      </c>
      <c r="G3" s="61">
        <f t="shared" ref="G3" si="2">(IF(AND(C3&lt;&gt;".",E3&lt;&gt;".",F3&lt;&gt;"."),1/((1/C3)+(1/E3)+(1/F3)),IF(AND(C3&lt;&gt;".",E3&lt;&gt;".",F3="."), 1/((1/C3)+(1/E3)),IF(AND(C3&lt;&gt;".",E3=".",F3&lt;&gt;"."),1/((1/C3)+(1/F3)),IF(AND(C3=".",E3&lt;&gt;".",F3&lt;&gt;"."),1/((1/E3)+(1/F3)),IF(AND(C3&lt;&gt;".",E3=".",F3="."),1/(1/C3),IF(AND(C3=".",E3&lt;&gt;".",F3="."),1/(1/E3),IF(AND(C3=".",E3=".",F3&lt;&gt;"."),1/(1/F3),IF(AND(C3=".",E3=".",F3="."),".")))))))))</f>
        <v>1.0570975102286461E-3</v>
      </c>
      <c r="H3" s="61">
        <f t="shared" ref="H3" si="3">(IF(AND(C3&lt;&gt;".",D3&lt;&gt;".",F3&lt;&gt;"."),1/((1/C3)+(1/D3)+(1/F3)),IF(AND(C3&lt;&gt;".",D3&lt;&gt;".",F3="."), 1/((1/C3)+(1/D3)),IF(AND(C3&lt;&gt;".",D3=".",F3&lt;&gt;"."),1/((1/C3)+(1/F3)),IF(AND(C3=".",D3&lt;&gt;".",F3&lt;&gt;"."),1/((1/D3)+(1/F3)),IF(AND(C3&lt;&gt;".",D3=".",F3="."),1/(1/C3),IF(AND(C3=".",D3&lt;&gt;".",F3="."),1/(1/D3),IF(AND(C3=".",D3=".",F3&lt;&gt;"."),1/(1/F3),IF(AND(C3=".",D3=".",F3="."),".")))))))))</f>
        <v>1.535866632640148E-6</v>
      </c>
      <c r="I3" s="74">
        <f>IFERROR((d_DL/(Rad_Spec!AV3*d_GSF_i*d_Fam*d_Foffset*Fsurf!C3*d_EF_iw*(1/365)*d_ET_iw*(1/24)))*1,".")</f>
        <v>211.46235009607807</v>
      </c>
      <c r="J3" s="61">
        <f>IFERROR((d_DL/(Rad_Spec!AZ3*d_GSF_i*d_Fam*d_Foffset*Fsurf!C3*d_EF_iw*(1/365)*d_ET_iw*(1/24)))*1,".")</f>
        <v>429.39803743999528</v>
      </c>
      <c r="K3" s="61">
        <f>IFERROR((d_DL/(Rad_Spec!BA3*d_GSF_i*d_Fam*d_Foffset*Fsurf!C3*d_EF_iw*(1/365)*d_ET_iw*(1/24)))*1,".")</f>
        <v>227.46490631956507</v>
      </c>
      <c r="L3" s="61">
        <f>IFERROR((d_DL/(Rad_Spec!BB3*d_GSF_i*d_Fam*d_Foffset*Fsurf!C3*d_EF_iw*(1/365)*d_ET_iw*(1/24)))*1,".")</f>
        <v>211.46235009607807</v>
      </c>
      <c r="M3" s="61">
        <f>IFERROR((d_DL/(Rad_Spec!AY3*d_GSF_i*d_Fam*d_Foffset*Fsurf!C3*d_EF_iw*(1/365)*d_ET_iw*(1/24)))*1,".")</f>
        <v>308.45513033925056</v>
      </c>
      <c r="N3" s="61">
        <f>IFERROR((d_DL/(Rad_Spec!AV3*d_GSF_i*d_Fam*d_Foffset*acf!D3*d_ET_iw*(1/24)*d_EF_iw*(1/365)))*1,".")</f>
        <v>294.56705368383672</v>
      </c>
      <c r="O3" s="61">
        <f>IFERROR((d_DL/(Rad_Spec!AZ3*d_GSF_i*d_Fam*d_Foffset*acf!E3*d_ET_iw*(1/24)*d_EF_iw*(1/365)))*1,".")</f>
        <v>598.15146615391336</v>
      </c>
      <c r="P3" s="61">
        <f>IFERROR((d_DL/(Rad_Spec!BA3*d_GSF_i*d_Fam*d_Foffset*acf!F3*d_ET_iw*(1/24)*d_EF_iw*(1/365)))*1,".")</f>
        <v>316.85861450315412</v>
      </c>
      <c r="Q3" s="61">
        <f>IFERROR((d_DL/(Rad_Spec!BB3*d_GSF_i*d_Fam*d_Foffset*acf!G3*d_ET_iw*(1/24)*d_EF_iw*(1/365)))*1,".")</f>
        <v>294.56705368383672</v>
      </c>
      <c r="R3" s="61">
        <f>IFERROR((d_DL/(Rad_Spec!AY3*d_GSF_i*d_Fam*d_Foffset*acf!C3*d_ET_iw*(1/24)*d_EF_iw*(1/365)))*1,".")</f>
        <v>429.67799656257608</v>
      </c>
    </row>
    <row r="4" spans="1:18">
      <c r="A4" s="60" t="s">
        <v>9</v>
      </c>
      <c r="B4" s="88" t="s">
        <v>6</v>
      </c>
      <c r="C4" s="61" t="str">
        <f>IFERROR((d_DL/(Rad_Spec!V4*d_IFD_iw*d_EF_iw))*1,".")</f>
        <v>.</v>
      </c>
      <c r="D4" s="61" t="str">
        <f>IFERROR((d_DL/(Rad_Spec!AN4*d_IRA_iw*(1/d_PEFm_pp)*d_SLF*d_ET_iw*d_EF_iw))*1,".")</f>
        <v>.</v>
      </c>
      <c r="E4" s="61" t="str">
        <f>IFERROR((d_DL/(Rad_Spec!AN4*d_IRA_iw*(1/d_PEF)*d_SLF*d_ET_iw*d_EF_iw))*1,".")</f>
        <v>.</v>
      </c>
      <c r="F4" s="61">
        <f>IFERROR((d_DL/(Rad_Spec!AY4*d_GSF_i*d_Fam*d_Foffset*acf!C4*d_ET_iw*(1/24)*d_EF_iw*(1/365)))*1,".")</f>
        <v>41264.230506890563</v>
      </c>
      <c r="G4" s="61">
        <f t="shared" ref="G4:G13" si="4">(IF(AND(C4&lt;&gt;".",E4&lt;&gt;".",F4&lt;&gt;"."),1/((1/C4)+(1/E4)+(1/F4)),IF(AND(C4&lt;&gt;".",E4&lt;&gt;".",F4="."), 1/((1/C4)+(1/E4)),IF(AND(C4&lt;&gt;".",E4=".",F4&lt;&gt;"."),1/((1/C4)+(1/F4)),IF(AND(C4=".",E4&lt;&gt;".",F4&lt;&gt;"."),1/((1/E4)+(1/F4)),IF(AND(C4&lt;&gt;".",E4=".",F4="."),1/(1/C4),IF(AND(C4=".",E4&lt;&gt;".",F4="."),1/(1/E4),IF(AND(C4=".",E4=".",F4&lt;&gt;"."),1/(1/F4),IF(AND(C4=".",E4=".",F4="."),".")))))))))</f>
        <v>41264.230506890563</v>
      </c>
      <c r="H4" s="61">
        <f t="shared" ref="H4:H13" si="5">(IF(AND(C4&lt;&gt;".",D4&lt;&gt;".",F4&lt;&gt;"."),1/((1/C4)+(1/D4)+(1/F4)),IF(AND(C4&lt;&gt;".",D4&lt;&gt;".",F4="."), 1/((1/C4)+(1/D4)),IF(AND(C4&lt;&gt;".",D4=".",F4&lt;&gt;"."),1/((1/C4)+(1/F4)),IF(AND(C4=".",D4&lt;&gt;".",F4&lt;&gt;"."),1/((1/D4)+(1/F4)),IF(AND(C4&lt;&gt;".",D4=".",F4="."),1/(1/C4),IF(AND(C4=".",D4&lt;&gt;".",F4="."),1/(1/D4),IF(AND(C4=".",D4=".",F4&lt;&gt;"."),1/(1/F4),IF(AND(C4=".",D4=".",F4="."),".")))))))))</f>
        <v>41264.230506890563</v>
      </c>
      <c r="I4" s="74">
        <f>IFERROR((d_DL/(Rad_Spec!AV4*d_GSF_i*d_Fam*d_Foffset*Fsurf!C4*d_EF_iw*(1/365)*d_ET_iw*(1/24)))*1,".")</f>
        <v>7616.5956813860766</v>
      </c>
      <c r="J4" s="61">
        <f>IFERROR((d_DL/(Rad_Spec!AZ4*d_GSF_i*d_Fam*d_Foffset*Fsurf!C4*d_EF_iw*(1/365)*d_ET_iw*(1/24)))*1,".")</f>
        <v>33587.07123388999</v>
      </c>
      <c r="K4" s="61">
        <f>IFERROR((d_DL/(Rad_Spec!BA4*d_GSF_i*d_Fam*d_Foffset*Fsurf!C4*d_EF_iw*(1/365)*d_ET_iw*(1/24)))*1,".")</f>
        <v>12031.189695721787</v>
      </c>
      <c r="L4" s="61">
        <f>IFERROR((d_DL/(Rad_Spec!BB4*d_GSF_i*d_Fam*d_Foffset*Fsurf!C4*d_EF_iw*(1/365)*d_ET_iw*(1/24)))*1,".")</f>
        <v>8142.3202991248472</v>
      </c>
      <c r="M4" s="61">
        <f>IFERROR((d_DL/(Rad_Spec!AY4*d_GSF_i*d_Fam*d_Foffset*Fsurf!C4*d_EF_iw*(1/365)*d_ET_iw*(1/24)))*1,".")</f>
        <v>34046.394807665478</v>
      </c>
      <c r="N4" s="61">
        <f>IFERROR((d_DL/(Rad_Spec!AV4*d_GSF_i*d_Fam*d_Foffset*acf!D4*d_ET_iw*(1/24)*d_EF_iw*(1/365)))*1,".")</f>
        <v>9231.3139658399214</v>
      </c>
      <c r="O4" s="61">
        <f>IFERROR((d_DL/(Rad_Spec!AZ4*d_GSF_i*d_Fam*d_Foffset*acf!E4*d_ET_iw*(1/24)*d_EF_iw*(1/365)))*1,".")</f>
        <v>40707.530335474665</v>
      </c>
      <c r="P4" s="61">
        <f>IFERROR((d_DL/(Rad_Spec!BA4*d_GSF_i*d_Fam*d_Foffset*acf!F4*d_ET_iw*(1/24)*d_EF_iw*(1/365)))*1,".")</f>
        <v>14581.801911214801</v>
      </c>
      <c r="Q4" s="61">
        <f>IFERROR((d_DL/(Rad_Spec!BB4*d_GSF_i*d_Fam*d_Foffset*acf!G4*d_ET_iw*(1/24)*d_EF_iw*(1/365)))*1,".")</f>
        <v>9868.4922025393116</v>
      </c>
      <c r="R4" s="61">
        <f>IFERROR((d_DL/(Rad_Spec!AY4*d_GSF_i*d_Fam*d_Foffset*acf!C4*d_ET_iw*(1/24)*d_EF_iw*(1/365)))*1,".")</f>
        <v>41264.230506890563</v>
      </c>
    </row>
    <row r="5" spans="1:18">
      <c r="A5" s="60" t="s">
        <v>10</v>
      </c>
      <c r="B5" s="88" t="s">
        <v>6</v>
      </c>
      <c r="C5" s="61" t="str">
        <f>IFERROR((d_DL/(Rad_Spec!V5*d_IFD_iw*d_EF_iw))*1,".")</f>
        <v>.</v>
      </c>
      <c r="D5" s="61" t="str">
        <f>IFERROR((d_DL/(Rad_Spec!AN5*d_IRA_iw*(1/d_PEFm_pp)*d_SLF*d_ET_iw*d_EF_iw))*1,".")</f>
        <v>.</v>
      </c>
      <c r="E5" s="61" t="str">
        <f>IFERROR((d_DL/(Rad_Spec!AN5*d_IRA_iw*(1/d_PEF)*d_SLF*d_ET_iw*d_EF_iw))*1,".")</f>
        <v>.</v>
      </c>
      <c r="F5" s="61">
        <f>IFERROR((d_DL/(Rad_Spec!AY5*d_GSF_i*d_Fam*d_Foffset*acf!C5*d_ET_iw*(1/24)*d_EF_iw*(1/365)))*1,".")</f>
        <v>83262.047333903611</v>
      </c>
      <c r="G5" s="61">
        <f t="shared" si="4"/>
        <v>83262.047333903611</v>
      </c>
      <c r="H5" s="61">
        <f t="shared" si="5"/>
        <v>83262.047333903611</v>
      </c>
      <c r="I5" s="74">
        <f>IFERROR((d_DL/(Rad_Spec!AV5*d_GSF_i*d_Fam*d_Foffset*Fsurf!C5*d_EF_iw*(1/365)*d_ET_iw*(1/24)))*1,".")</f>
        <v>131576.9425671332</v>
      </c>
      <c r="J5" s="61">
        <f>IFERROR((d_DL/(Rad_Spec!AZ5*d_GSF_i*d_Fam*d_Foffset*Fsurf!C5*d_EF_iw*(1/365)*d_ET_iw*(1/24)))*1,".")</f>
        <v>232011.41352074372</v>
      </c>
      <c r="K5" s="61">
        <f>IFERROR((d_DL/(Rad_Spec!BA5*d_GSF_i*d_Fam*d_Foffset*Fsurf!C5*d_EF_iw*(1/365)*d_ET_iw*(1/24)))*1,".")</f>
        <v>165442.73791141639</v>
      </c>
      <c r="L5" s="61">
        <f>IFERROR((d_DL/(Rad_Spec!BB5*d_GSF_i*d_Fam*d_Foffset*Fsurf!C5*d_EF_iw*(1/365)*d_ET_iw*(1/24)))*1,".")</f>
        <v>137097.65344407587</v>
      </c>
      <c r="M5" s="61">
        <f>IFERROR((d_DL/(Rad_Spec!AY5*d_GSF_i*d_Fam*d_Foffset*Fsurf!C5*d_EF_iw*(1/365)*d_ET_iw*(1/24)))*1,".")</f>
        <v>50124.309431781447</v>
      </c>
      <c r="N5" s="61">
        <f>IFERROR((d_DL/(Rad_Spec!AV5*d_GSF_i*d_Fam*d_Foffset*acf!D5*d_ET_iw*(1/24)*d_EF_iw*(1/365)))*1,".")</f>
        <v>218563.92126429346</v>
      </c>
      <c r="O5" s="61">
        <f>IFERROR((d_DL/(Rad_Spec!AZ5*d_GSF_i*d_Fam*d_Foffset*acf!E5*d_ET_iw*(1/24)*d_EF_iw*(1/365)))*1,".")</f>
        <v>385396.73690390209</v>
      </c>
      <c r="P5" s="61">
        <f>IFERROR((d_DL/(Rad_Spec!BA5*d_GSF_i*d_Fam*d_Foffset*acf!F5*d_ET_iw*(1/24)*d_EF_iw*(1/365)))*1,".")</f>
        <v>274818.77019729727</v>
      </c>
      <c r="Q5" s="61">
        <f>IFERROR((d_DL/(Rad_Spec!BB5*d_GSF_i*d_Fam*d_Foffset*acf!G5*d_ET_iw*(1/24)*d_EF_iw*(1/365)))*1,".")</f>
        <v>227734.43544321484</v>
      </c>
      <c r="R5" s="61">
        <f>IFERROR((d_DL/(Rad_Spec!AY5*d_GSF_i*d_Fam*d_Foffset*acf!C5*d_ET_iw*(1/24)*d_EF_iw*(1/365)))*1,".")</f>
        <v>83262.047333903611</v>
      </c>
    </row>
    <row r="6" spans="1:18">
      <c r="A6" s="60" t="s">
        <v>11</v>
      </c>
      <c r="B6" s="88" t="s">
        <v>6</v>
      </c>
      <c r="C6" s="61" t="str">
        <f>IFERROR((d_DL/(Rad_Spec!V6*d_IFD_iw*d_EF_iw))*1,".")</f>
        <v>.</v>
      </c>
      <c r="D6" s="61" t="str">
        <f>IFERROR((d_DL/(Rad_Spec!AN6*d_IRA_iw*(1/d_PEFm_pp)*d_SLF*d_ET_iw*d_EF_iw))*1,".")</f>
        <v>.</v>
      </c>
      <c r="E6" s="61" t="str">
        <f>IFERROR((d_DL/(Rad_Spec!AN6*d_IRA_iw*(1/d_PEF)*d_SLF*d_ET_iw*d_EF_iw))*1,".")</f>
        <v>.</v>
      </c>
      <c r="F6" s="61">
        <f>IFERROR((d_DL/(Rad_Spec!AY6*d_GSF_i*d_Fam*d_Foffset*acf!C6*d_ET_iw*(1/24)*d_EF_iw*(1/365)))*1,".")</f>
        <v>16.233934705483808</v>
      </c>
      <c r="G6" s="61">
        <f t="shared" si="4"/>
        <v>16.233934705483808</v>
      </c>
      <c r="H6" s="61">
        <f t="shared" si="5"/>
        <v>16.233934705483808</v>
      </c>
      <c r="I6" s="74">
        <f>IFERROR((d_DL/(Rad_Spec!AV6*d_GSF_i*d_Fam*d_Foffset*Fsurf!C6*d_EF_iw*(1/365)*d_ET_iw*(1/24)))*1,".")</f>
        <v>2.7215211329719815</v>
      </c>
      <c r="J6" s="61">
        <f>IFERROR((d_DL/(Rad_Spec!AZ6*d_GSF_i*d_Fam*d_Foffset*Fsurf!C6*d_EF_iw*(1/365)*d_ET_iw*(1/24)))*1,".")</f>
        <v>13.68320347410913</v>
      </c>
      <c r="K6" s="61">
        <f>IFERROR((d_DL/(Rad_Spec!BA6*d_GSF_i*d_Fam*d_Foffset*Fsurf!C6*d_EF_iw*(1/365)*d_ET_iw*(1/24)))*1,".")</f>
        <v>4.7824788841546466</v>
      </c>
      <c r="L6" s="61">
        <f>IFERROR((d_DL/(Rad_Spec!BB6*d_GSF_i*d_Fam*d_Foffset*Fsurf!C6*d_EF_iw*(1/365)*d_ET_iw*(1/24)))*1,".")</f>
        <v>3.0595982923473835</v>
      </c>
      <c r="M6" s="61">
        <f>IFERROR((d_DL/(Rad_Spec!AY6*d_GSF_i*d_Fam*d_Foffset*Fsurf!C6*d_EF_iw*(1/365)*d_ET_iw*(1/24)))*1,".")</f>
        <v>13.641961937381351</v>
      </c>
      <c r="N6" s="61">
        <f>IFERROR((d_DL/(Rad_Spec!AV6*d_GSF_i*d_Fam*d_Foffset*acf!D6*d_ET_iw*(1/24)*d_EF_iw*(1/365)))*1,".")</f>
        <v>3.238610148236658</v>
      </c>
      <c r="O6" s="61">
        <f>IFERROR((d_DL/(Rad_Spec!AZ6*d_GSF_i*d_Fam*d_Foffset*acf!E6*d_ET_iw*(1/24)*d_EF_iw*(1/365)))*1,".")</f>
        <v>16.283012134189867</v>
      </c>
      <c r="P6" s="61">
        <f>IFERROR((d_DL/(Rad_Spec!BA6*d_GSF_i*d_Fam*d_Foffset*acf!F6*d_ET_iw*(1/24)*d_EF_iw*(1/365)))*1,".")</f>
        <v>5.6911498721440292</v>
      </c>
      <c r="Q6" s="61">
        <f>IFERROR((d_DL/(Rad_Spec!BB6*d_GSF_i*d_Fam*d_Foffset*acf!G6*d_ET_iw*(1/24)*d_EF_iw*(1/365)))*1,".")</f>
        <v>3.6409219678933864</v>
      </c>
      <c r="R6" s="61">
        <f>IFERROR((d_DL/(Rad_Spec!AY6*d_GSF_i*d_Fam*d_Foffset*acf!C6*d_ET_iw*(1/24)*d_EF_iw*(1/365)))*1,".")</f>
        <v>16.233934705483808</v>
      </c>
    </row>
    <row r="7" spans="1:18">
      <c r="A7" s="60" t="s">
        <v>12</v>
      </c>
      <c r="B7" s="88" t="s">
        <v>6</v>
      </c>
      <c r="C7" s="61">
        <f>IFERROR((d_DL/(Rad_Spec!V7*d_IFD_iw*d_EF_iw))*1,".")</f>
        <v>2.80698208724381</v>
      </c>
      <c r="D7" s="61">
        <f>IFERROR((d_DL/(Rad_Spec!AN7*d_IRA_iw*(1/d_PEFm_pp)*d_SLF*d_ET_iw*d_EF_iw))*1,".")</f>
        <v>1.0320640837798961E-3</v>
      </c>
      <c r="E7" s="61">
        <f>IFERROR((d_DL/(Rad_Spec!AN7*d_IRA_iw*(1/d_PEF)*d_SLF*d_ET_iw*d_EF_iw))*1,".")</f>
        <v>0.75453451000236682</v>
      </c>
      <c r="F7" s="61">
        <f>IFERROR((d_DL/(Rad_Spec!AY7*d_GSF_i*d_Fam*d_Foffset*acf!C7*d_ET_iw*(1/24)*d_EF_iw*(1/365)))*1,".")</f>
        <v>266.86553632661412</v>
      </c>
      <c r="G7" s="61">
        <f t="shared" si="4"/>
        <v>0.59335837341001474</v>
      </c>
      <c r="H7" s="61">
        <f t="shared" si="5"/>
        <v>1.0316807681239541E-3</v>
      </c>
      <c r="I7" s="74">
        <f>IFERROR((d_DL/(Rad_Spec!AV7*d_GSF_i*d_Fam*d_Foffset*Fsurf!C7*d_EF_iw*(1/365)*d_ET_iw*(1/24)))*1,".")</f>
        <v>1595.4091938719923</v>
      </c>
      <c r="J7" s="61">
        <f>IFERROR((d_DL/(Rad_Spec!AZ7*d_GSF_i*d_Fam*d_Foffset*Fsurf!C7*d_EF_iw*(1/365)*d_ET_iw*(1/24)))*1,".")</f>
        <v>2782.469605979129</v>
      </c>
      <c r="K7" s="61">
        <f>IFERROR((d_DL/(Rad_Spec!BA7*d_GSF_i*d_Fam*d_Foffset*Fsurf!C7*d_EF_iw*(1/365)*d_ET_iw*(1/24)))*1,".")</f>
        <v>1923.682690553472</v>
      </c>
      <c r="L7" s="61">
        <f>IFERROR((d_DL/(Rad_Spec!BB7*d_GSF_i*d_Fam*d_Foffset*Fsurf!C7*d_EF_iw*(1/365)*d_ET_iw*(1/24)))*1,".")</f>
        <v>1628.7626961829048</v>
      </c>
      <c r="M7" s="61">
        <f>IFERROR((d_DL/(Rad_Spec!AY7*d_GSF_i*d_Fam*d_Foffset*Fsurf!C7*d_EF_iw*(1/365)*d_ET_iw*(1/24)))*1,".")</f>
        <v>212.81143247736372</v>
      </c>
      <c r="N7" s="61">
        <f>IFERROR((d_DL/(Rad_Spec!AV7*d_GSF_i*d_Fam*d_Foffset*acf!D7*d_ET_iw*(1/24)*d_EF_iw*(1/365)))*1,".")</f>
        <v>2000.6431291154784</v>
      </c>
      <c r="O7" s="61">
        <f>IFERROR((d_DL/(Rad_Spec!AZ7*d_GSF_i*d_Fam*d_Foffset*acf!E7*d_ET_iw*(1/24)*d_EF_iw*(1/365)))*1,".")</f>
        <v>3489.216885897828</v>
      </c>
      <c r="P7" s="61">
        <f>IFERROR((d_DL/(Rad_Spec!BA7*d_GSF_i*d_Fam*d_Foffset*acf!F7*d_ET_iw*(1/24)*d_EF_iw*(1/365)))*1,".")</f>
        <v>2412.2980939540539</v>
      </c>
      <c r="Q7" s="61">
        <f>IFERROR((d_DL/(Rad_Spec!BB7*d_GSF_i*d_Fam*d_Foffset*acf!G7*d_ET_iw*(1/24)*d_EF_iw*(1/365)))*1,".")</f>
        <v>2042.4684210133628</v>
      </c>
      <c r="R7" s="61">
        <f>IFERROR((d_DL/(Rad_Spec!AY7*d_GSF_i*d_Fam*d_Foffset*acf!C7*d_ET_iw*(1/24)*d_EF_iw*(1/365)))*1,".")</f>
        <v>266.86553632661412</v>
      </c>
    </row>
    <row r="8" spans="1:18">
      <c r="A8" s="60" t="s">
        <v>13</v>
      </c>
      <c r="B8" s="88" t="s">
        <v>6</v>
      </c>
      <c r="C8" s="61">
        <f>IFERROR((d_DL/(Rad_Spec!V8*d_IFD_iw*d_EF_iw))*1,".")</f>
        <v>18.571447142875716</v>
      </c>
      <c r="D8" s="61">
        <f>IFERROR((d_DL/(Rad_Spec!AN8*d_IRA_iw*(1/d_PEFm_pp)*d_SLF*d_ET_iw*d_EF_iw))*1,".")</f>
        <v>4.2445452459680235E-3</v>
      </c>
      <c r="E8" s="61">
        <f>IFERROR((d_DL/(Rad_Spec!AN8*d_IRA_iw*(1/d_PEF)*d_SLF*d_ET_iw*d_EF_iw))*1,".")</f>
        <v>3.1031560129674802</v>
      </c>
      <c r="F8" s="61">
        <f>IFERROR((d_DL/(Rad_Spec!AY8*d_GSF_i*d_Fam*d_Foffset*acf!C8*d_ET_iw*(1/24)*d_EF_iw*(1/365)))*1,".")</f>
        <v>57.115733689415592</v>
      </c>
      <c r="G8" s="61">
        <f t="shared" si="4"/>
        <v>2.5406053494302832</v>
      </c>
      <c r="H8" s="61">
        <f t="shared" si="5"/>
        <v>4.2432601024092742E-3</v>
      </c>
      <c r="I8" s="74">
        <f>IFERROR((d_DL/(Rad_Spec!AV8*d_GSF_i*d_Fam*d_Foffset*Fsurf!C8*d_EF_iw*(1/365)*d_ET_iw*(1/24)))*1,".")</f>
        <v>13.131932077109283</v>
      </c>
      <c r="J8" s="61">
        <f>IFERROR((d_DL/(Rad_Spec!AZ8*d_GSF_i*d_Fam*d_Foffset*Fsurf!C8*d_EF_iw*(1/365)*d_ET_iw*(1/24)))*1,".")</f>
        <v>60.786805086493281</v>
      </c>
      <c r="K8" s="61">
        <f>IFERROR((d_DL/(Rad_Spec!BA8*d_GSF_i*d_Fam*d_Foffset*Fsurf!C8*d_EF_iw*(1/365)*d_ET_iw*(1/24)))*1,".")</f>
        <v>21.768247767460434</v>
      </c>
      <c r="L8" s="61">
        <f>IFERROR((d_DL/(Rad_Spec!BB8*d_GSF_i*d_Fam*d_Foffset*Fsurf!C8*d_EF_iw*(1/365)*d_ET_iw*(1/24)))*1,".")</f>
        <v>14.339913959573348</v>
      </c>
      <c r="M8" s="61">
        <f>IFERROR((d_DL/(Rad_Spec!AY8*d_GSF_i*d_Fam*d_Foffset*Fsurf!C8*d_EF_iw*(1/365)*d_ET_iw*(1/24)))*1,".")</f>
        <v>47.08634269531376</v>
      </c>
      <c r="N8" s="61">
        <f>IFERROR((d_DL/(Rad_Spec!AV8*d_GSF_i*d_Fam*d_Foffset*acf!D8*d_ET_iw*(1/24)*d_EF_iw*(1/365)))*1,".")</f>
        <v>15.929033609533562</v>
      </c>
      <c r="O8" s="61">
        <f>IFERROR((d_DL/(Rad_Spec!AZ8*d_GSF_i*d_Fam*d_Foffset*acf!E8*d_ET_iw*(1/24)*d_EF_iw*(1/365)))*1,".")</f>
        <v>73.734394569916375</v>
      </c>
      <c r="P8" s="61">
        <f>IFERROR((d_DL/(Rad_Spec!BA8*d_GSF_i*d_Fam*d_Foffset*acf!F8*d_ET_iw*(1/24)*d_EF_iw*(1/365)))*1,".")</f>
        <v>26.404884541929512</v>
      </c>
      <c r="Q8" s="61">
        <f>IFERROR((d_DL/(Rad_Spec!BB8*d_GSF_i*d_Fam*d_Foffset*acf!G8*d_ET_iw*(1/24)*d_EF_iw*(1/365)))*1,".")</f>
        <v>17.394315632962471</v>
      </c>
      <c r="R8" s="61">
        <f>IFERROR((d_DL/(Rad_Spec!AY8*d_GSF_i*d_Fam*d_Foffset*acf!C8*d_ET_iw*(1/24)*d_EF_iw*(1/365)))*1,".")</f>
        <v>57.115733689415592</v>
      </c>
    </row>
    <row r="9" spans="1:18">
      <c r="A9" s="60" t="s">
        <v>14</v>
      </c>
      <c r="B9" s="88" t="s">
        <v>6</v>
      </c>
      <c r="C9" s="61">
        <f>IFERROR((d_DL/(Rad_Spec!V9*d_IFD_iw*d_EF_iw))*1,".")</f>
        <v>32.831665484726706</v>
      </c>
      <c r="D9" s="61">
        <f>IFERROR((d_DL/(Rad_Spec!AN9*d_IRA_iw*(1/d_PEFm_pp)*d_SLF*d_ET_iw*d_EF_iw))*1,".")</f>
        <v>1.5232814701035517E-2</v>
      </c>
      <c r="E9" s="61">
        <f>IFERROR((d_DL/(Rad_Spec!AN9*d_IRA_iw*(1/d_PEF)*d_SLF*d_ET_iw*d_EF_iw))*1,".")</f>
        <v>11.13659951648302</v>
      </c>
      <c r="F9" s="61">
        <f>IFERROR((d_DL/(Rad_Spec!AY9*d_GSF_i*d_Fam*d_Foffset*acf!C9*d_ET_iw*(1/24)*d_EF_iw*(1/365)))*1,".")</f>
        <v>6.5964650176508144</v>
      </c>
      <c r="G9" s="61">
        <f t="shared" si="4"/>
        <v>3.6785159043986195</v>
      </c>
      <c r="H9" s="61">
        <f t="shared" si="5"/>
        <v>1.5190687791061207E-2</v>
      </c>
      <c r="I9" s="74">
        <f>IFERROR((d_DL/(Rad_Spec!AV9*d_GSF_i*d_Fam*d_Foffset*Fsurf!C9*d_EF_iw*(1/365)*d_ET_iw*(1/24)))*1,".")</f>
        <v>1.0378782333958958</v>
      </c>
      <c r="J9" s="61">
        <f>IFERROR((d_DL/(Rad_Spec!AZ9*d_GSF_i*d_Fam*d_Foffset*Fsurf!C9*d_EF_iw*(1/365)*d_ET_iw*(1/24)))*1,".")</f>
        <v>5.820211652873776</v>
      </c>
      <c r="K9" s="61">
        <f>IFERROR((d_DL/(Rad_Spec!BA9*d_GSF_i*d_Fam*d_Foffset*Fsurf!C9*d_EF_iw*(1/365)*d_ET_iw*(1/24)))*1,".")</f>
        <v>2.0139780005182266</v>
      </c>
      <c r="L9" s="61">
        <f>IFERROR((d_DL/(Rad_Spec!BB9*d_GSF_i*d_Fam*d_Foffset*Fsurf!C9*d_EF_iw*(1/365)*d_ET_iw*(1/24)))*1,".")</f>
        <v>1.2439275885553753</v>
      </c>
      <c r="M9" s="61">
        <f>IFERROR((d_DL/(Rad_Spec!AY9*d_GSF_i*d_Fam*d_Foffset*Fsurf!C9*d_EF_iw*(1/365)*d_ET_iw*(1/24)))*1,".")</f>
        <v>5.7112251235071998</v>
      </c>
      <c r="N9" s="61">
        <f>IFERROR((d_DL/(Rad_Spec!AV9*d_GSF_i*d_Fam*d_Foffset*acf!D9*d_ET_iw*(1/24)*d_EF_iw*(1/365)))*1,".")</f>
        <v>1.19874935957226</v>
      </c>
      <c r="O9" s="61">
        <f>IFERROR((d_DL/(Rad_Spec!AZ9*d_GSF_i*d_Fam*d_Foffset*acf!E9*d_ET_iw*(1/24)*d_EF_iw*(1/365)))*1,".")</f>
        <v>6.7223444590692107</v>
      </c>
      <c r="P9" s="61">
        <f>IFERROR((d_DL/(Rad_Spec!BA9*d_GSF_i*d_Fam*d_Foffset*acf!F9*d_ET_iw*(1/24)*d_EF_iw*(1/365)))*1,".")</f>
        <v>2.3261445905985521</v>
      </c>
      <c r="Q9" s="61">
        <f>IFERROR((d_DL/(Rad_Spec!BB9*d_GSF_i*d_Fam*d_Foffset*acf!G9*d_ET_iw*(1/24)*d_EF_iw*(1/365)))*1,".")</f>
        <v>1.4367363647814586</v>
      </c>
      <c r="R9" s="61">
        <f>IFERROR((d_DL/(Rad_Spec!AY9*d_GSF_i*d_Fam*d_Foffset*acf!C9*d_ET_iw*(1/24)*d_EF_iw*(1/365)))*1,".")</f>
        <v>6.5964650176508144</v>
      </c>
    </row>
    <row r="10" spans="1:18">
      <c r="A10" s="62" t="s">
        <v>15</v>
      </c>
      <c r="B10" s="88" t="s">
        <v>8</v>
      </c>
      <c r="C10" s="61">
        <f>IFERROR((d_DL/(Rad_Spec!V10*d_IFD_iw*d_EF_iw))*1,".")</f>
        <v>0.27037842163892584</v>
      </c>
      <c r="D10" s="61">
        <f>IFERROR((d_DL/(Rad_Spec!AN10*d_IRA_iw*(1/d_PEFm_pp)*d_SLF*d_ET_iw*d_EF_iw))*1,".")</f>
        <v>3.613461780140644E-3</v>
      </c>
      <c r="E10" s="61">
        <f>IFERROR((d_DL/(Rad_Spec!AN10*d_IRA_iw*(1/d_PEF)*d_SLF*d_ET_iw*d_EF_iw))*1,".")</f>
        <v>2.6417755026461762</v>
      </c>
      <c r="F10" s="61">
        <f>IFERROR((d_DL/(Rad_Spec!AY10*d_GSF_i*d_Fam*d_Foffset*acf!C10*d_ET_iw*(1/24)*d_EF_iw*(1/365)))*1,".")</f>
        <v>2992.645471266504</v>
      </c>
      <c r="G10" s="61">
        <f t="shared" si="4"/>
        <v>0.24525508344312394</v>
      </c>
      <c r="H10" s="61">
        <f t="shared" si="5"/>
        <v>3.565802448072405E-3</v>
      </c>
      <c r="I10" s="74">
        <f>IFERROR((d_DL/(Rad_Spec!AV10*d_GSF_i*d_Fam*d_Foffset*Fsurf!C10*d_EF_iw*(1/365)*d_ET_iw*(1/24)))*1,".")</f>
        <v>10052.793415150401</v>
      </c>
      <c r="J10" s="61">
        <f>IFERROR((d_DL/(Rad_Spec!AZ10*d_GSF_i*d_Fam*d_Foffset*Fsurf!C10*d_EF_iw*(1/365)*d_ET_iw*(1/24)))*1,".")</f>
        <v>21742.088083929943</v>
      </c>
      <c r="K10" s="61">
        <f>IFERROR((d_DL/(Rad_Spec!BA10*d_GSF_i*d_Fam*d_Foffset*Fsurf!C10*d_EF_iw*(1/365)*d_ET_iw*(1/24)))*1,".")</f>
        <v>12465.4638347865</v>
      </c>
      <c r="L10" s="61">
        <f>IFERROR((d_DL/(Rad_Spec!BB10*d_GSF_i*d_Fam*d_Foffset*Fsurf!C10*d_EF_iw*(1/365)*d_ET_iw*(1/24)))*1,".")</f>
        <v>10228.77229331496</v>
      </c>
      <c r="M10" s="61">
        <f>IFERROR((d_DL/(Rad_Spec!AY10*d_GSF_i*d_Fam*d_Foffset*Fsurf!C10*d_EF_iw*(1/365)*d_ET_iw*(1/24)))*1,".")</f>
        <v>2386.4796421582969</v>
      </c>
      <c r="N10" s="61">
        <f>IFERROR((d_DL/(Rad_Spec!AV10*d_GSF_i*d_Fam*d_Foffset*acf!D10*d_ET_iw*(1/24)*d_EF_iw*(1/365)))*1,".")</f>
        <v>12606.202942598607</v>
      </c>
      <c r="O10" s="61">
        <f>IFERROR((d_DL/(Rad_Spec!AZ10*d_GSF_i*d_Fam*d_Foffset*acf!E10*d_ET_iw*(1/24)*d_EF_iw*(1/365)))*1,".")</f>
        <v>27264.578457248146</v>
      </c>
      <c r="P10" s="61">
        <f>IFERROR((d_DL/(Rad_Spec!BA10*d_GSF_i*d_Fam*d_Foffset*acf!F10*d_ET_iw*(1/24)*d_EF_iw*(1/365)))*1,".")</f>
        <v>15631.691648822271</v>
      </c>
      <c r="Q10" s="61">
        <f>IFERROR((d_DL/(Rad_Spec!BB10*d_GSF_i*d_Fam*d_Foffset*acf!G10*d_ET_iw*(1/24)*d_EF_iw*(1/365)))*1,".")</f>
        <v>12826.88045581696</v>
      </c>
      <c r="R10" s="61">
        <f>IFERROR((d_DL/(Rad_Spec!AY10*d_GSF_i*d_Fam*d_Foffset*acf!C10*d_ET_iw*(1/24)*d_EF_iw*(1/365)))*1,".")</f>
        <v>2992.645471266504</v>
      </c>
    </row>
    <row r="11" spans="1:18">
      <c r="A11" s="60" t="s">
        <v>16</v>
      </c>
      <c r="B11" s="88" t="s">
        <v>6</v>
      </c>
      <c r="C11" s="61" t="str">
        <f>IFERROR((d_DL/(Rad_Spec!V11*d_IFD_iw*d_EF_iw))*1,".")</f>
        <v>.</v>
      </c>
      <c r="D11" s="61" t="str">
        <f>IFERROR((d_DL/(Rad_Spec!AN11*d_IRA_iw*(1/d_PEFm_pp)*d_SLF*d_ET_iw*d_EF_iw))*1,".")</f>
        <v>.</v>
      </c>
      <c r="E11" s="61" t="str">
        <f>IFERROR((d_DL/(Rad_Spec!AN11*d_IRA_iw*(1/d_PEF)*d_SLF*d_ET_iw*d_EF_iw))*1,".")</f>
        <v>.</v>
      </c>
      <c r="F11" s="61">
        <f>IFERROR((d_DL/(Rad_Spec!AY11*d_GSF_i*d_Fam*d_Foffset*acf!C11*d_ET_iw*(1/24)*d_EF_iw*(1/365)))*1,".")</f>
        <v>348.21488197264523</v>
      </c>
      <c r="G11" s="61">
        <f t="shared" si="4"/>
        <v>348.21488197264523</v>
      </c>
      <c r="H11" s="61">
        <f t="shared" si="5"/>
        <v>348.21488197264523</v>
      </c>
      <c r="I11" s="74">
        <f>IFERROR((d_DL/(Rad_Spec!AV11*d_GSF_i*d_Fam*d_Foffset*Fsurf!C11*d_EF_iw*(1/365)*d_ET_iw*(1/24)))*1,".")</f>
        <v>64.786735237941215</v>
      </c>
      <c r="J11" s="61">
        <f>IFERROR((d_DL/(Rad_Spec!AZ11*d_GSF_i*d_Fam*d_Foffset*Fsurf!C11*d_EF_iw*(1/365)*d_ET_iw*(1/24)))*1,".")</f>
        <v>270.13416505644494</v>
      </c>
      <c r="K11" s="61">
        <f>IFERROR((d_DL/(Rad_Spec!BA11*d_GSF_i*d_Fam*d_Foffset*Fsurf!C11*d_EF_iw*(1/365)*d_ET_iw*(1/24)))*1,".")</f>
        <v>96.637954444878858</v>
      </c>
      <c r="L11" s="61">
        <f>IFERROR((d_DL/(Rad_Spec!BB11*d_GSF_i*d_Fam*d_Foffset*Fsurf!C11*d_EF_iw*(1/365)*d_ET_iw*(1/24)))*1,".")</f>
        <v>67.336650473253798</v>
      </c>
      <c r="M11" s="61">
        <f>IFERROR((d_DL/(Rad_Spec!AY11*d_GSF_i*d_Fam*d_Foffset*Fsurf!C11*d_EF_iw*(1/365)*d_ET_iw*(1/24)))*1,".")</f>
        <v>274.40101022273075</v>
      </c>
      <c r="N11" s="61">
        <f>IFERROR((d_DL/(Rad_Spec!AV11*d_GSF_i*d_Fam*d_Foffset*acf!D11*d_ET_iw*(1/24)*d_EF_iw*(1/365)))*1,".")</f>
        <v>82.214367016947435</v>
      </c>
      <c r="O11" s="61">
        <f>IFERROR((d_DL/(Rad_Spec!AZ11*d_GSF_i*d_Fam*d_Foffset*acf!E11*d_ET_iw*(1/24)*d_EF_iw*(1/365)))*1,".")</f>
        <v>342.80025545662869</v>
      </c>
      <c r="P11" s="61">
        <f>IFERROR((d_DL/(Rad_Spec!BA11*d_GSF_i*d_Fam*d_Foffset*acf!F11*d_ET_iw*(1/24)*d_EF_iw*(1/365)))*1,".")</f>
        <v>122.63356419055128</v>
      </c>
      <c r="Q11" s="61">
        <f>IFERROR((d_DL/(Rad_Spec!BB11*d_GSF_i*d_Fam*d_Foffset*acf!G11*d_ET_iw*(1/24)*d_EF_iw*(1/365)))*1,".")</f>
        <v>85.450209450559043</v>
      </c>
      <c r="R11" s="61">
        <f>IFERROR((d_DL/(Rad_Spec!AY11*d_GSF_i*d_Fam*d_Foffset*acf!C11*d_ET_iw*(1/24)*d_EF_iw*(1/365)))*1,".")</f>
        <v>348.21488197264523</v>
      </c>
    </row>
    <row r="12" spans="1:18">
      <c r="A12" s="60" t="s">
        <v>17</v>
      </c>
      <c r="B12" s="88" t="s">
        <v>6</v>
      </c>
      <c r="C12" s="61" t="str">
        <f>IFERROR((d_DL/(Rad_Spec!V12*d_IFD_iw*d_EF_iw))*1,".")</f>
        <v>.</v>
      </c>
      <c r="D12" s="61" t="str">
        <f>IFERROR((d_DL/(Rad_Spec!AN12*d_IRA_iw*(1/d_PEFm_pp)*d_SLF*d_ET_iw*d_EF_iw))*1,".")</f>
        <v>.</v>
      </c>
      <c r="E12" s="61" t="str">
        <f>IFERROR((d_DL/(Rad_Spec!AN12*d_IRA_iw*(1/d_PEF)*d_SLF*d_ET_iw*d_EF_iw))*1,".")</f>
        <v>.</v>
      </c>
      <c r="F12" s="61">
        <f>IFERROR((d_DL/(Rad_Spec!AY12*d_GSF_i*d_Fam*d_Foffset*acf!C12*d_ET_iw*(1/24)*d_EF_iw*(1/365)))*1,".")</f>
        <v>62.865639765531256</v>
      </c>
      <c r="G12" s="61">
        <f t="shared" si="4"/>
        <v>62.865639765531256</v>
      </c>
      <c r="H12" s="61">
        <f t="shared" si="5"/>
        <v>62.865639765531256</v>
      </c>
      <c r="I12" s="74" t="str">
        <f>IFERROR((d_DL/(Rad_Spec!AV12*d_GSF_i*d_Fam*d_Foffset*Fsurf!C12*d_EF_iw*(1/365)*d_ET_iw*(1/24)))*1,".")</f>
        <v>.</v>
      </c>
      <c r="J12" s="61" t="str">
        <f>IFERROR((d_DL/(Rad_Spec!AZ12*d_GSF_i*d_Fam*d_Foffset*Fsurf!C12*d_EF_iw*(1/365)*d_ET_iw*(1/24)))*1,".")</f>
        <v>.</v>
      </c>
      <c r="K12" s="61" t="str">
        <f>IFERROR((d_DL/(Rad_Spec!BA12*d_GSF_i*d_Fam*d_Foffset*Fsurf!C12*d_EF_iw*(1/365)*d_ET_iw*(1/24)))*1,".")</f>
        <v>.</v>
      </c>
      <c r="L12" s="61" t="str">
        <f>IFERROR((d_DL/(Rad_Spec!BB12*d_GSF_i*d_Fam*d_Foffset*Fsurf!C12*d_EF_iw*(1/365)*d_ET_iw*(1/24)))*1,".")</f>
        <v>.</v>
      </c>
      <c r="M12" s="61" t="str">
        <f>IFERROR((d_DL/(Rad_Spec!AY12*d_GSF_i*d_Fam*d_Foffset*Fsurf!C12*d_EF_iw*(1/365)*d_ET_iw*(1/24)))*1,".")</f>
        <v>.</v>
      </c>
      <c r="N12" s="61">
        <f>IFERROR((d_DL/(Rad_Spec!AV12*d_GSF_i*d_Fam*d_Foffset*acf!D12*d_ET_iw*(1/24)*d_EF_iw*(1/365)))*1,".")</f>
        <v>17.871598683866925</v>
      </c>
      <c r="O12" s="61">
        <f>IFERROR((d_DL/(Rad_Spec!AZ12*d_GSF_i*d_Fam*d_Foffset*acf!E12*d_ET_iw*(1/24)*d_EF_iw*(1/365)))*1,".")</f>
        <v>79.001137039196109</v>
      </c>
      <c r="P12" s="61">
        <f>IFERROR((d_DL/(Rad_Spec!BA12*d_GSF_i*d_Fam*d_Foffset*acf!F12*d_ET_iw*(1/24)*d_EF_iw*(1/365)))*1,".")</f>
        <v>28.318281972504106</v>
      </c>
      <c r="Q12" s="61">
        <f>IFERROR((d_DL/(Rad_Spec!BB12*d_GSF_i*d_Fam*d_Foffset*acf!G12*d_ET_iw*(1/24)*d_EF_iw*(1/365)))*1,".")</f>
        <v>19.094085890255215</v>
      </c>
      <c r="R12" s="61">
        <f>IFERROR((d_DL/(Rad_Spec!AY12*d_GSF_i*d_Fam*d_Foffset*acf!C12*d_ET_iw*(1/24)*d_EF_iw*(1/365)))*1,".")</f>
        <v>62.865639765531256</v>
      </c>
    </row>
    <row r="13" spans="1:18">
      <c r="A13" s="60" t="s">
        <v>18</v>
      </c>
      <c r="B13" s="88" t="s">
        <v>6</v>
      </c>
      <c r="C13" s="61">
        <f>IFERROR((d_DL/(Rad_Spec!V13*d_IFD_iw*d_EF_iw))*1,".")</f>
        <v>3.436585546064852E-2</v>
      </c>
      <c r="D13" s="61">
        <f>IFERROR((d_DL/(Rad_Spec!AN13*d_IRA_iw*(1/d_PEFm_pp)*d_SLF*d_ET_iw*d_EF_iw))*1,".")</f>
        <v>1.1958837796179748E-5</v>
      </c>
      <c r="E13" s="61">
        <f>IFERROR((d_DL/(Rad_Spec!AN13*d_IRA_iw*(1/d_PEF)*d_SLF*d_ET_iw*d_EF_iw))*1,".")</f>
        <v>8.7430189254242494E-3</v>
      </c>
      <c r="F13" s="61">
        <f>IFERROR((d_DL/(Rad_Spec!AY13*d_GSF_i*d_Fam*d_Foffset*acf!C13*d_ET_iw*(1/24)*d_EF_iw*(1/365)))*1,".")</f>
        <v>383.89263627312118</v>
      </c>
      <c r="G13" s="61">
        <f t="shared" si="4"/>
        <v>6.9696987913559936E-3</v>
      </c>
      <c r="H13" s="61">
        <f t="shared" si="5"/>
        <v>1.1954677362992933E-5</v>
      </c>
      <c r="I13" s="74">
        <f>IFERROR((d_DL/(Rad_Spec!AV13*d_GSF_i*d_Fam*d_Foffset*Fsurf!C13*d_EF_iw*(1/365)*d_ET_iw*(1/24)))*1,".")</f>
        <v>116.79805947032075</v>
      </c>
      <c r="J13" s="61">
        <f>IFERROR((d_DL/(Rad_Spec!AZ13*d_GSF_i*d_Fam*d_Foffset*Fsurf!C13*d_EF_iw*(1/365)*d_ET_iw*(1/24)))*1,".")</f>
        <v>349.42086124870957</v>
      </c>
      <c r="K13" s="61">
        <f>IFERROR((d_DL/(Rad_Spec!BA13*d_GSF_i*d_Fam*d_Foffset*Fsurf!C13*d_EF_iw*(1/365)*d_ET_iw*(1/24)))*1,".")</f>
        <v>146.61015157288514</v>
      </c>
      <c r="L13" s="61">
        <f>IFERROR((d_DL/(Rad_Spec!BB13*d_GSF_i*d_Fam*d_Foffset*Fsurf!C13*d_EF_iw*(1/365)*d_ET_iw*(1/24)))*1,".")</f>
        <v>117.124311033087</v>
      </c>
      <c r="M13" s="61">
        <f>IFERROR((d_DL/(Rad_Spec!AY13*d_GSF_i*d_Fam*d_Foffset*Fsurf!C13*d_EF_iw*(1/365)*d_ET_iw*(1/24)))*1,".")</f>
        <v>274.60131350008675</v>
      </c>
      <c r="N13" s="61">
        <f>IFERROR((d_DL/(Rad_Spec!AV13*d_GSF_i*d_Fam*d_Foffset*acf!D13*d_ET_iw*(1/24)*d_EF_iw*(1/365)))*1,".")</f>
        <v>163.28368713950837</v>
      </c>
      <c r="O13" s="61">
        <f>IFERROR((d_DL/(Rad_Spec!AZ13*d_GSF_i*d_Fam*d_Foffset*acf!E13*d_ET_iw*(1/24)*d_EF_iw*(1/365)))*1,".")</f>
        <v>488.49036402569595</v>
      </c>
      <c r="P13" s="61">
        <f>IFERROR((d_DL/(Rad_Spec!BA13*d_GSF_i*d_Fam*d_Foffset*acf!F13*d_ET_iw*(1/24)*d_EF_iw*(1/365)))*1,".")</f>
        <v>204.96099189889341</v>
      </c>
      <c r="Q13" s="61">
        <f>IFERROR((d_DL/(Rad_Spec!BB13*d_GSF_i*d_Fam*d_Foffset*acf!G13*d_ET_iw*(1/24)*d_EF_iw*(1/365)))*1,".")</f>
        <v>163.73978682425559</v>
      </c>
      <c r="R13" s="61">
        <f>IFERROR((d_DL/(Rad_Spec!AY13*d_GSF_i*d_Fam*d_Foffset*acf!C13*d_ET_iw*(1/24)*d_EF_iw*(1/365)))*1,".")</f>
        <v>383.89263627312118</v>
      </c>
    </row>
    <row r="14" spans="1:18">
      <c r="A14" s="60" t="s">
        <v>19</v>
      </c>
      <c r="B14" s="88" t="s">
        <v>6</v>
      </c>
      <c r="C14" s="61">
        <f>IFERROR((d_DL/(Rad_Spec!V14*d_IFD_iw*d_EF_iw))*1,".")</f>
        <v>3.8065699112726623</v>
      </c>
      <c r="D14" s="61">
        <f>IFERROR((d_DL/(Rad_Spec!AN14*d_IRA_iw*(1/d_PEFm_pp)*d_SLF*d_ET_iw*d_EF_iw))*1,".")</f>
        <v>3.3044157068391415E-2</v>
      </c>
      <c r="E14" s="61">
        <f>IFERROR((d_DL/(Rad_Spec!AN14*d_IRA_iw*(1/d_PEF)*d_SLF*d_ET_iw*d_EF_iw))*1,".")</f>
        <v>24.158341767619639</v>
      </c>
      <c r="F14" s="61">
        <f>IFERROR((d_DL/(Rad_Spec!AY14*d_GSF_i*d_Fam*d_Foffset*acf!C14*d_ET_iw*(1/24)*d_EF_iw*(1/365)))*1,".")</f>
        <v>46.371189728040385</v>
      </c>
      <c r="G14" s="61">
        <f t="shared" ref="G14:G30" si="6">(IF(AND(C14&lt;&gt;".",E14&lt;&gt;".",F14&lt;&gt;"."),1/((1/C14)+(1/E14)+(1/F14)),IF(AND(C14&lt;&gt;".",E14&lt;&gt;".",F14="."), 1/((1/C14)+(1/E14)),IF(AND(C14&lt;&gt;".",E14=".",F14&lt;&gt;"."),1/((1/C14)+(1/F14)),IF(AND(C14=".",E14&lt;&gt;".",F14&lt;&gt;"."),1/((1/E14)+(1/F14)),IF(AND(C14&lt;&gt;".",E14=".",F14="."),1/(1/C14),IF(AND(C14=".",E14&lt;&gt;".",F14="."),1/(1/E14),IF(AND(C14=".",E14=".",F14&lt;&gt;"."),1/(1/F14),IF(AND(C14=".",E14=".",F14="."),".")))))))))</f>
        <v>3.0706647437880434</v>
      </c>
      <c r="H14" s="61">
        <f t="shared" ref="H14:H30" si="7">(IF(AND(C14&lt;&gt;".",D14&lt;&gt;".",F14&lt;&gt;"."),1/((1/C14)+(1/D14)+(1/F14)),IF(AND(C14&lt;&gt;".",D14&lt;&gt;".",F14="."), 1/((1/C14)+(1/D14)),IF(AND(C14&lt;&gt;".",D14=".",F14&lt;&gt;"."),1/((1/C14)+(1/F14)),IF(AND(C14=".",D14&lt;&gt;".",F14&lt;&gt;"."),1/((1/D14)+(1/F14)),IF(AND(C14&lt;&gt;".",D14=".",F14="."),1/(1/C14),IF(AND(C14=".",D14&lt;&gt;".",F14="."),1/(1/D14),IF(AND(C14=".",D14=".",F14&lt;&gt;"."),1/(1/F14),IF(AND(C14=".",D14=".",F14="."),".")))))))))</f>
        <v>3.2736647876009238E-2</v>
      </c>
      <c r="I14" s="74">
        <f>IFERROR((d_DL/(Rad_Spec!AV14*d_GSF_i*d_Fam*d_Foffset*Fsurf!C14*d_EF_iw*(1/365)*d_ET_iw*(1/24)))*1,".")</f>
        <v>8.3248847790330771</v>
      </c>
      <c r="J14" s="61">
        <f>IFERROR((d_DL/(Rad_Spec!AZ14*d_GSF_i*d_Fam*d_Foffset*Fsurf!C14*d_EF_iw*(1/365)*d_ET_iw*(1/24)))*1,".")</f>
        <v>35.724899248606512</v>
      </c>
      <c r="K14" s="61">
        <f>IFERROR((d_DL/(Rad_Spec!BA14*d_GSF_i*d_Fam*d_Foffset*Fsurf!C14*d_EF_iw*(1/365)*d_ET_iw*(1/24)))*1,".")</f>
        <v>12.852867435051071</v>
      </c>
      <c r="L14" s="61">
        <f>IFERROR((d_DL/(Rad_Spec!BB14*d_GSF_i*d_Fam*d_Foffset*Fsurf!C14*d_EF_iw*(1/365)*d_ET_iw*(1/24)))*1,".")</f>
        <v>8.7927562104128434</v>
      </c>
      <c r="M14" s="61">
        <f>IFERROR((d_DL/(Rad_Spec!AY14*d_GSF_i*d_Fam*d_Foffset*Fsurf!C14*d_EF_iw*(1/365)*d_ET_iw*(1/24)))*1,".")</f>
        <v>35.891013721393477</v>
      </c>
      <c r="N14" s="61">
        <f>IFERROR((d_DL/(Rad_Spec!AV14*d_GSF_i*d_Fam*d_Foffset*acf!D14*d_ET_iw*(1/24)*d_EF_iw*(1/365)))*1,".")</f>
        <v>10.755751134510737</v>
      </c>
      <c r="O14" s="61">
        <f>IFERROR((d_DL/(Rad_Spec!AZ14*d_GSF_i*d_Fam*d_Foffset*acf!E14*d_ET_iw*(1/24)*d_EF_iw*(1/365)))*1,".")</f>
        <v>46.156569829199618</v>
      </c>
      <c r="P14" s="61">
        <f>IFERROR((d_DL/(Rad_Spec!BA14*d_GSF_i*d_Fam*d_Foffset*acf!F14*d_ET_iw*(1/24)*d_EF_iw*(1/365)))*1,".")</f>
        <v>16.605904726085981</v>
      </c>
      <c r="Q14" s="61">
        <f>IFERROR((d_DL/(Rad_Spec!BB14*d_GSF_i*d_Fam*d_Foffset*acf!G14*d_ET_iw*(1/24)*d_EF_iw*(1/365)))*1,".")</f>
        <v>11.360241023853396</v>
      </c>
      <c r="R14" s="61">
        <f>IFERROR((d_DL/(Rad_Spec!AY14*d_GSF_i*d_Fam*d_Foffset*acf!C14*d_ET_iw*(1/24)*d_EF_iw*(1/365)))*1,".")</f>
        <v>46.371189728040385</v>
      </c>
    </row>
    <row r="15" spans="1:18">
      <c r="A15" s="60" t="s">
        <v>20</v>
      </c>
      <c r="B15" s="88" t="s">
        <v>6</v>
      </c>
      <c r="C15" s="61">
        <f>IFERROR((d_DL/(Rad_Spec!V15*d_IFD_iw*d_EF_iw))*1,".")</f>
        <v>64.852672562423123</v>
      </c>
      <c r="D15" s="61">
        <f>IFERROR((d_DL/(Rad_Spec!AN15*d_IRA_iw*(1/d_PEFm_pp)*d_SLF*d_ET_iw*d_EF_iw))*1,".")</f>
        <v>2.1587586852702705</v>
      </c>
      <c r="E15" s="61">
        <f>IFERROR((d_DL/(Rad_Spec!AN15*d_IRA_iw*(1/d_PEF)*d_SLF*d_ET_iw*d_EF_iw))*1,".")</f>
        <v>1578.2527000049506</v>
      </c>
      <c r="F15" s="61">
        <f>IFERROR((d_DL/(Rad_Spec!AY15*d_GSF_i*d_Fam*d_Foffset*acf!C15*d_ET_iw*(1/24)*d_EF_iw*(1/365)))*1,".")</f>
        <v>3262.6194096357212</v>
      </c>
      <c r="G15" s="61">
        <f t="shared" si="6"/>
        <v>61.125892657077337</v>
      </c>
      <c r="H15" s="61">
        <f t="shared" si="7"/>
        <v>2.0878777734386991</v>
      </c>
      <c r="I15" s="74">
        <f>IFERROR((d_DL/(Rad_Spec!AV15*d_GSF_i*d_Fam*d_Foffset*Fsurf!C15*d_EF_iw*(1/365)*d_ET_iw*(1/24)))*1,".")</f>
        <v>11599.377017481231</v>
      </c>
      <c r="J15" s="61">
        <f>IFERROR((d_DL/(Rad_Spec!AZ15*d_GSF_i*d_Fam*d_Foffset*Fsurf!C15*d_EF_iw*(1/365)*d_ET_iw*(1/24)))*1,".")</f>
        <v>29585.752772436314</v>
      </c>
      <c r="K15" s="61">
        <f>IFERROR((d_DL/(Rad_Spec!BA15*d_GSF_i*d_Fam*d_Foffset*Fsurf!C15*d_EF_iw*(1/365)*d_ET_iw*(1/24)))*1,".")</f>
        <v>14653.758426473156</v>
      </c>
      <c r="L15" s="61">
        <f>IFERROR((d_DL/(Rad_Spec!BB15*d_GSF_i*d_Fam*d_Foffset*Fsurf!C15*d_EF_iw*(1/365)*d_ET_iw*(1/24)))*1,".")</f>
        <v>11774.682463589261</v>
      </c>
      <c r="M15" s="61">
        <f>IFERROR((d_DL/(Rad_Spec!AY15*d_GSF_i*d_Fam*d_Foffset*Fsurf!C15*d_EF_iw*(1/365)*d_ET_iw*(1/24)))*1,".")</f>
        <v>2341.5928777289869</v>
      </c>
      <c r="N15" s="61">
        <f>IFERROR((d_DL/(Rad_Spec!AV15*d_GSF_i*d_Fam*d_Foffset*acf!D15*d_ET_iw*(1/24)*d_EF_iw*(1/365)))*1,".")</f>
        <v>16161.798644357186</v>
      </c>
      <c r="O15" s="61">
        <f>IFERROR((d_DL/(Rad_Spec!AZ15*d_GSF_i*d_Fam*d_Foffset*acf!E15*d_ET_iw*(1/24)*d_EF_iw*(1/365)))*1,".")</f>
        <v>41222.815529594591</v>
      </c>
      <c r="P15" s="61">
        <f>IFERROR((d_DL/(Rad_Spec!BA15*d_GSF_i*d_Fam*d_Foffset*acf!F15*d_ET_iw*(1/24)*d_EF_iw*(1/365)))*1,".")</f>
        <v>20417.570074219264</v>
      </c>
      <c r="Q15" s="61">
        <f>IFERROR((d_DL/(Rad_Spec!BB15*d_GSF_i*d_Fam*d_Foffset*acf!G15*d_ET_iw*(1/24)*d_EF_iw*(1/365)))*1,".")</f>
        <v>16406.05756593437</v>
      </c>
      <c r="R15" s="61">
        <f>IFERROR((d_DL/(Rad_Spec!AY15*d_GSF_i*d_Fam*d_Foffset*acf!C15*d_ET_iw*(1/24)*d_EF_iw*(1/365)))*1,".")</f>
        <v>3262.6194096357212</v>
      </c>
    </row>
    <row r="16" spans="1:18">
      <c r="A16" s="62" t="s">
        <v>21</v>
      </c>
      <c r="B16" s="88" t="s">
        <v>6</v>
      </c>
      <c r="C16" s="61">
        <f>IFERROR((d_DL/(Rad_Spec!V16*d_IFD_iw*d_EF_iw))*1,".")</f>
        <v>5.2832565147836082E-3</v>
      </c>
      <c r="D16" s="61">
        <f>IFERROR((d_DL/(Rad_Spec!AN16*d_IRA_iw*(1/d_PEFm_pp)*d_SLF*d_ET_iw*d_EF_iw))*1,".")</f>
        <v>2.4988616290524844E-5</v>
      </c>
      <c r="E16" s="61">
        <f>IFERROR((d_DL/(Rad_Spec!AN16*d_IRA_iw*(1/d_PEF)*d_SLF*d_ET_iw*d_EF_iw))*1,".")</f>
        <v>1.8268994769543207E-2</v>
      </c>
      <c r="F16" s="61">
        <f>IFERROR((d_DL/(Rad_Spec!AY16*d_GSF_i*d_Fam*d_Foffset*acf!C16*d_ET_iw*(1/24)*d_EF_iw*(1/365)))*1,".")</f>
        <v>4316.5807949604414</v>
      </c>
      <c r="G16" s="61">
        <f t="shared" si="6"/>
        <v>4.0981090442195871E-3</v>
      </c>
      <c r="H16" s="61">
        <f t="shared" si="7"/>
        <v>2.4870981989665063E-5</v>
      </c>
      <c r="I16" s="74">
        <f>IFERROR((d_DL/(Rad_Spec!AV16*d_GSF_i*d_Fam*d_Foffset*Fsurf!C16*d_EF_iw*(1/365)*d_ET_iw*(1/24)))*1,".")</f>
        <v>3491.5445822860183</v>
      </c>
      <c r="J16" s="61">
        <f>IFERROR((d_DL/(Rad_Spec!AZ16*d_GSF_i*d_Fam*d_Foffset*Fsurf!C16*d_EF_iw*(1/365)*d_ET_iw*(1/24)))*1,".")</f>
        <v>5492.3173204499162</v>
      </c>
      <c r="K16" s="61">
        <f>IFERROR((d_DL/(Rad_Spec!BA16*d_GSF_i*d_Fam*d_Foffset*Fsurf!C16*d_EF_iw*(1/365)*d_ET_iw*(1/24)))*1,".")</f>
        <v>3555.0272110548553</v>
      </c>
      <c r="L16" s="61">
        <f>IFERROR((d_DL/(Rad_Spec!BB16*d_GSF_i*d_Fam*d_Foffset*Fsurf!C16*d_EF_iw*(1/365)*d_ET_iw*(1/24)))*1,".")</f>
        <v>3491.5445822860183</v>
      </c>
      <c r="M16" s="61">
        <f>IFERROR((d_DL/(Rad_Spec!AY16*d_GSF_i*d_Fam*d_Foffset*Fsurf!C16*d_EF_iw*(1/365)*d_ET_iw*(1/24)))*1,".")</f>
        <v>2879.6402901670722</v>
      </c>
      <c r="N16" s="61">
        <f>IFERROR((d_DL/(Rad_Spec!AV16*d_GSF_i*d_Fam*d_Foffset*acf!D16*d_ET_iw*(1/24)*d_EF_iw*(1/365)))*1,".")</f>
        <v>5233.8253288467413</v>
      </c>
      <c r="O16" s="61">
        <f>IFERROR((d_DL/(Rad_Spec!AZ16*d_GSF_i*d_Fam*d_Foffset*acf!E16*d_ET_iw*(1/24)*d_EF_iw*(1/365)))*1,".")</f>
        <v>8232.9836633544255</v>
      </c>
      <c r="P16" s="61">
        <f>IFERROR((d_DL/(Rad_Spec!BA16*d_GSF_i*d_Fam*d_Foffset*acf!F16*d_ET_iw*(1/24)*d_EF_iw*(1/365)))*1,".")</f>
        <v>5328.9857893712278</v>
      </c>
      <c r="Q16" s="61">
        <f>IFERROR((d_DL/(Rad_Spec!BB16*d_GSF_i*d_Fam*d_Foffset*acf!G16*d_ET_iw*(1/24)*d_EF_iw*(1/365)))*1,".")</f>
        <v>5233.8253288467413</v>
      </c>
      <c r="R16" s="61">
        <f>IFERROR((d_DL/(Rad_Spec!AY16*d_GSF_i*d_Fam*d_Foffset*acf!C16*d_ET_iw*(1/24)*d_EF_iw*(1/365)))*1,".")</f>
        <v>4316.5807949604414</v>
      </c>
    </row>
    <row r="17" spans="1:18">
      <c r="A17" s="60" t="s">
        <v>22</v>
      </c>
      <c r="B17" s="88" t="s">
        <v>6</v>
      </c>
      <c r="C17" s="61">
        <f>IFERROR((d_DL/(Rad_Spec!V17*d_IFD_iw*d_EF_iw))*1,".")</f>
        <v>26.454291613592748</v>
      </c>
      <c r="D17" s="61">
        <f>IFERROR((d_DL/(Rad_Spec!AN17*d_IRA_iw*(1/d_PEFm_pp)*d_SLF*d_ET_iw*d_EF_iw))*1,".")</f>
        <v>1.1963970344590125E-2</v>
      </c>
      <c r="E17" s="61">
        <f>IFERROR((d_DL/(Rad_Spec!AN17*d_IRA_iw*(1/d_PEF)*d_SLF*d_ET_iw*d_EF_iw))*1,".")</f>
        <v>8.7467712940617695</v>
      </c>
      <c r="F17" s="61">
        <f>IFERROR((d_DL/(Rad_Spec!AY17*d_GSF_i*d_Fam*d_Foffset*acf!C17*d_ET_iw*(1/24)*d_EF_iw*(1/365)))*1,".")</f>
        <v>38.547244136066489</v>
      </c>
      <c r="G17" s="61">
        <f t="shared" si="6"/>
        <v>5.6157330493771083</v>
      </c>
      <c r="H17" s="61">
        <f t="shared" si="7"/>
        <v>1.1954853307410597E-2</v>
      </c>
      <c r="I17" s="74">
        <f>IFERROR((d_DL/(Rad_Spec!AV17*d_GSF_i*d_Fam*d_Foffset*Fsurf!C17*d_EF_iw*(1/365)*d_ET_iw*(1/24)))*1,".")</f>
        <v>6.9792313982411693</v>
      </c>
      <c r="J17" s="61">
        <f>IFERROR((d_DL/(Rad_Spec!AZ17*d_GSF_i*d_Fam*d_Foffset*Fsurf!C17*d_EF_iw*(1/365)*d_ET_iw*(1/24)))*1,".")</f>
        <v>31.313484873442036</v>
      </c>
      <c r="K17" s="61">
        <f>IFERROR((d_DL/(Rad_Spec!BA17*d_GSF_i*d_Fam*d_Foffset*Fsurf!C17*d_EF_iw*(1/365)*d_ET_iw*(1/24)))*1,".")</f>
        <v>11.104072650156755</v>
      </c>
      <c r="L17" s="61">
        <f>IFERROR((d_DL/(Rad_Spec!BB17*d_GSF_i*d_Fam*d_Foffset*Fsurf!C17*d_EF_iw*(1/365)*d_ET_iw*(1/24)))*1,".")</f>
        <v>7.4674447233963548</v>
      </c>
      <c r="M17" s="61">
        <f>IFERROR((d_DL/(Rad_Spec!AY17*d_GSF_i*d_Fam*d_Foffset*Fsurf!C17*d_EF_iw*(1/365)*d_ET_iw*(1/24)))*1,".")</f>
        <v>30.887214852617376</v>
      </c>
      <c r="N17" s="61">
        <f>IFERROR((d_DL/(Rad_Spec!AV17*d_GSF_i*d_Fam*d_Foffset*acf!D17*d_ET_iw*(1/24)*d_EF_iw*(1/365)))*1,".")</f>
        <v>8.7100807850049797</v>
      </c>
      <c r="O17" s="61">
        <f>IFERROR((d_DL/(Rad_Spec!AZ17*d_GSF_i*d_Fam*d_Foffset*acf!E17*d_ET_iw*(1/24)*d_EF_iw*(1/365)))*1,".")</f>
        <v>39.079229122055665</v>
      </c>
      <c r="P17" s="61">
        <f>IFERROR((d_DL/(Rad_Spec!BA17*d_GSF_i*d_Fam*d_Foffset*acf!F17*d_ET_iw*(1/24)*d_EF_iw*(1/365)))*1,".")</f>
        <v>13.857882667395629</v>
      </c>
      <c r="Q17" s="61">
        <f>IFERROR((d_DL/(Rad_Spec!BB17*d_GSF_i*d_Fam*d_Foffset*acf!G17*d_ET_iw*(1/24)*d_EF_iw*(1/365)))*1,".")</f>
        <v>9.3193710147986515</v>
      </c>
      <c r="R17" s="61">
        <f>IFERROR((d_DL/(Rad_Spec!AY17*d_GSF_i*d_Fam*d_Foffset*acf!C17*d_ET_iw*(1/24)*d_EF_iw*(1/365)))*1,".")</f>
        <v>38.547244136066489</v>
      </c>
    </row>
    <row r="18" spans="1:18">
      <c r="A18" s="60" t="s">
        <v>23</v>
      </c>
      <c r="B18" s="88" t="s">
        <v>6</v>
      </c>
      <c r="C18" s="61">
        <f>IFERROR((d_DL/(Rad_Spec!V18*d_IFD_iw*d_EF_iw))*1,".")</f>
        <v>3.0389640779251168E-3</v>
      </c>
      <c r="D18" s="61">
        <f>IFERROR((d_DL/(Rad_Spec!AN18*d_IRA_iw*(1/d_PEFm_pp)*d_SLF*d_ET_iw*d_EF_iw))*1,".")</f>
        <v>3.2196870989714707E-5</v>
      </c>
      <c r="E18" s="61">
        <f>IFERROR((d_DL/(Rad_Spec!AN18*d_IRA_iw*(1/d_PEF)*d_SLF*d_ET_iw*d_EF_iw))*1,".")</f>
        <v>2.3538897106911438E-2</v>
      </c>
      <c r="F18" s="61">
        <f>IFERROR((d_DL/(Rad_Spec!AY18*d_GSF_i*d_Fam*d_Foffset*acf!C18*d_ET_iw*(1/24)*d_EF_iw*(1/365)))*1,".")</f>
        <v>1015941.4669266982</v>
      </c>
      <c r="G18" s="61">
        <f t="shared" si="6"/>
        <v>2.6914830375132062E-3</v>
      </c>
      <c r="H18" s="61">
        <f t="shared" si="7"/>
        <v>3.1859331368105821E-5</v>
      </c>
      <c r="I18" s="74">
        <f>IFERROR((d_DL/(Rad_Spec!AV18*d_GSF_i*d_Fam*d_Foffset*Fsurf!C18*d_EF_iw*(1/365)*d_ET_iw*(1/24)))*1,".")</f>
        <v>164632.85106101676</v>
      </c>
      <c r="J18" s="61">
        <f>IFERROR((d_DL/(Rad_Spec!AZ18*d_GSF_i*d_Fam*d_Foffset*Fsurf!C18*d_EF_iw*(1/365)*d_ET_iw*(1/24)))*1,".")</f>
        <v>848449.16417111049</v>
      </c>
      <c r="K18" s="61">
        <f>IFERROR((d_DL/(Rad_Spec!BA18*d_GSF_i*d_Fam*d_Foffset*Fsurf!C18*d_EF_iw*(1/365)*d_ET_iw*(1/24)))*1,".")</f>
        <v>295947.14893111348</v>
      </c>
      <c r="L18" s="61">
        <f>IFERROR((d_DL/(Rad_Spec!BB18*d_GSF_i*d_Fam*d_Foffset*Fsurf!C18*d_EF_iw*(1/365)*d_ET_iw*(1/24)))*1,".")</f>
        <v>188330.00386525405</v>
      </c>
      <c r="M18" s="61">
        <f>IFERROR((d_DL/(Rad_Spec!AY18*d_GSF_i*d_Fam*d_Foffset*Fsurf!C18*d_EF_iw*(1/365)*d_ET_iw*(1/24)))*1,".")</f>
        <v>861697.59705402725</v>
      </c>
      <c r="N18" s="61">
        <f>IFERROR((d_DL/(Rad_Spec!AV18*d_GSF_i*d_Fam*d_Foffset*acf!D18*d_ET_iw*(1/24)*d_EF_iw*(1/365)))*1,".")</f>
        <v>194102.13140093876</v>
      </c>
      <c r="O18" s="61">
        <f>IFERROR((d_DL/(Rad_Spec!AZ18*d_GSF_i*d_Fam*d_Foffset*acf!E18*d_ET_iw*(1/24)*d_EF_iw*(1/365)))*1,".")</f>
        <v>1000321.5645577392</v>
      </c>
      <c r="P18" s="61">
        <f>IFERROR((d_DL/(Rad_Spec!BA18*d_GSF_i*d_Fam*d_Foffset*acf!F18*d_ET_iw*(1/24)*d_EF_iw*(1/365)))*1,".")</f>
        <v>348921.68858978286</v>
      </c>
      <c r="Q18" s="61">
        <f>IFERROR((d_DL/(Rad_Spec!BB18*d_GSF_i*d_Fam*d_Foffset*acf!G18*d_ET_iw*(1/24)*d_EF_iw*(1/365)))*1,".")</f>
        <v>222041.0745571345</v>
      </c>
      <c r="R18" s="61">
        <f>IFERROR((d_DL/(Rad_Spec!AY18*d_GSF_i*d_Fam*d_Foffset*acf!C18*d_ET_iw*(1/24)*d_EF_iw*(1/365)))*1,".")</f>
        <v>1015941.4669266982</v>
      </c>
    </row>
    <row r="19" spans="1:18">
      <c r="A19" s="60" t="s">
        <v>24</v>
      </c>
      <c r="B19" s="88" t="s">
        <v>6</v>
      </c>
      <c r="C19" s="61" t="str">
        <f>IFERROR((d_DL/(Rad_Spec!V19*d_IFD_iw*d_EF_iw))*1,".")</f>
        <v>.</v>
      </c>
      <c r="D19" s="61" t="str">
        <f>IFERROR((d_DL/(Rad_Spec!AN19*d_IRA_iw*(1/d_PEFm_pp)*d_SLF*d_ET_iw*d_EF_iw))*1,".")</f>
        <v>.</v>
      </c>
      <c r="E19" s="61" t="str">
        <f>IFERROR((d_DL/(Rad_Spec!AN19*d_IRA_iw*(1/d_PEF)*d_SLF*d_ET_iw*d_EF_iw))*1,".")</f>
        <v>.</v>
      </c>
      <c r="F19" s="61">
        <f>IFERROR((d_DL/(Rad_Spec!AY19*d_GSF_i*d_Fam*d_Foffset*acf!C19*d_ET_iw*(1/24)*d_EF_iw*(1/365)))*1,".")</f>
        <v>262380.40126230131</v>
      </c>
      <c r="G19" s="61">
        <f t="shared" si="6"/>
        <v>262380.40126230131</v>
      </c>
      <c r="H19" s="61">
        <f t="shared" si="7"/>
        <v>262380.40126230131</v>
      </c>
      <c r="I19" s="74" t="str">
        <f>IFERROR((d_DL/(Rad_Spec!AV19*d_GSF_i*d_Fam*d_Foffset*Fsurf!C19*d_EF_iw*(1/365)*d_ET_iw*(1/24)))*1,".")</f>
        <v>.</v>
      </c>
      <c r="J19" s="61" t="str">
        <f>IFERROR((d_DL/(Rad_Spec!AZ19*d_GSF_i*d_Fam*d_Foffset*Fsurf!C19*d_EF_iw*(1/365)*d_ET_iw*(1/24)))*1,".")</f>
        <v>.</v>
      </c>
      <c r="K19" s="61" t="str">
        <f>IFERROR((d_DL/(Rad_Spec!BA19*d_GSF_i*d_Fam*d_Foffset*Fsurf!C19*d_EF_iw*(1/365)*d_ET_iw*(1/24)))*1,".")</f>
        <v>.</v>
      </c>
      <c r="L19" s="61" t="str">
        <f>IFERROR((d_DL/(Rad_Spec!BB19*d_GSF_i*d_Fam*d_Foffset*Fsurf!C19*d_EF_iw*(1/365)*d_ET_iw*(1/24)))*1,".")</f>
        <v>.</v>
      </c>
      <c r="M19" s="61" t="str">
        <f>IFERROR((d_DL/(Rad_Spec!AY19*d_GSF_i*d_Fam*d_Foffset*Fsurf!C19*d_EF_iw*(1/365)*d_ET_iw*(1/24)))*1,".")</f>
        <v>.</v>
      </c>
      <c r="N19" s="61">
        <f>IFERROR((d_DL/(Rad_Spec!AV19*d_GSF_i*d_Fam*d_Foffset*acf!D19*d_ET_iw*(1/24)*d_EF_iw*(1/365)))*1,".")</f>
        <v>50533.485933692682</v>
      </c>
      <c r="O19" s="61">
        <f>IFERROR((d_DL/(Rad_Spec!AZ19*d_GSF_i*d_Fam*d_Foffset*acf!E19*d_ET_iw*(1/24)*d_EF_iw*(1/365)))*1,".")</f>
        <v>259375.41452691818</v>
      </c>
      <c r="P19" s="61">
        <f>IFERROR((d_DL/(Rad_Spec!BA19*d_GSF_i*d_Fam*d_Foffset*acf!F19*d_ET_iw*(1/24)*d_EF_iw*(1/365)))*1,".")</f>
        <v>90600.994873390257</v>
      </c>
      <c r="Q19" s="61">
        <f>IFERROR((d_DL/(Rad_Spec!BB19*d_GSF_i*d_Fam*d_Foffset*acf!G19*d_ET_iw*(1/24)*d_EF_iw*(1/365)))*1,".")</f>
        <v>57469.454591258349</v>
      </c>
      <c r="R19" s="61">
        <f>IFERROR((d_DL/(Rad_Spec!AY19*d_GSF_i*d_Fam*d_Foffset*acf!C19*d_ET_iw*(1/24)*d_EF_iw*(1/365)))*1,".")</f>
        <v>262380.40126230131</v>
      </c>
    </row>
    <row r="20" spans="1:18">
      <c r="A20" s="60" t="s">
        <v>25</v>
      </c>
      <c r="B20" s="88" t="s">
        <v>6</v>
      </c>
      <c r="C20" s="61" t="str">
        <f>IFERROR((d_DL/(Rad_Spec!V20*d_IFD_iw*d_EF_iw))*1,".")</f>
        <v>.</v>
      </c>
      <c r="D20" s="61" t="str">
        <f>IFERROR((d_DL/(Rad_Spec!AN20*d_IRA_iw*(1/d_PEFm_pp)*d_SLF*d_ET_iw*d_EF_iw))*1,".")</f>
        <v>.</v>
      </c>
      <c r="E20" s="61" t="str">
        <f>IFERROR((d_DL/(Rad_Spec!AN20*d_IRA_iw*(1/d_PEF)*d_SLF*d_ET_iw*d_EF_iw))*1,".")</f>
        <v>.</v>
      </c>
      <c r="F20" s="61">
        <f>IFERROR((d_DL/(Rad_Spec!AY20*d_GSF_i*d_Fam*d_Foffset*acf!C20*d_ET_iw*(1/24)*d_EF_iw*(1/365)))*1,".")</f>
        <v>119021.35101733365</v>
      </c>
      <c r="G20" s="61">
        <f t="shared" si="6"/>
        <v>119021.35101733365</v>
      </c>
      <c r="H20" s="61">
        <f t="shared" si="7"/>
        <v>119021.35101733365</v>
      </c>
      <c r="I20" s="74">
        <f>IFERROR((d_DL/(Rad_Spec!AV20*d_GSF_i*d_Fam*d_Foffset*Fsurf!C20*d_EF_iw*(1/365)*d_ET_iw*(1/24)))*1,".")</f>
        <v>19345.961486547498</v>
      </c>
      <c r="J20" s="61">
        <f>IFERROR((d_DL/(Rad_Spec!AZ20*d_GSF_i*d_Fam*d_Foffset*Fsurf!C20*d_EF_iw*(1/365)*d_ET_iw*(1/24)))*1,".")</f>
        <v>99438.242040854122</v>
      </c>
      <c r="K20" s="61">
        <f>IFERROR((d_DL/(Rad_Spec!BA20*d_GSF_i*d_Fam*d_Foffset*Fsurf!C20*d_EF_iw*(1/365)*d_ET_iw*(1/24)))*1,".")</f>
        <v>34768.616098200742</v>
      </c>
      <c r="L20" s="61">
        <f>IFERROR((d_DL/(Rad_Spec!BB20*d_GSF_i*d_Fam*d_Foffset*Fsurf!C20*d_EF_iw*(1/365)*d_ET_iw*(1/24)))*1,".")</f>
        <v>21999.611070985429</v>
      </c>
      <c r="M20" s="61">
        <f>IFERROR((d_DL/(Rad_Spec!AY20*d_GSF_i*d_Fam*d_Foffset*Fsurf!C20*d_EF_iw*(1/365)*d_ET_iw*(1/24)))*1,".")</f>
        <v>100951.1034922253</v>
      </c>
      <c r="N20" s="61">
        <f>IFERROR((d_DL/(Rad_Spec!AV20*d_GSF_i*d_Fam*d_Foffset*acf!D20*d_ET_iw*(1/24)*d_EF_iw*(1/365)))*1,".")</f>
        <v>22808.888592639494</v>
      </c>
      <c r="O20" s="61">
        <f>IFERROR((d_DL/(Rad_Spec!AZ20*d_GSF_i*d_Fam*d_Foffset*acf!E20*d_ET_iw*(1/24)*d_EF_iw*(1/365)))*1,".")</f>
        <v>117237.68736616703</v>
      </c>
      <c r="P20" s="61">
        <f>IFERROR((d_DL/(Rad_Spec!BA20*d_GSF_i*d_Fam*d_Foffset*acf!F20*d_ET_iw*(1/24)*d_EF_iw*(1/365)))*1,".")</f>
        <v>40992.198379778689</v>
      </c>
      <c r="Q20" s="61">
        <f>IFERROR((d_DL/(Rad_Spec!BB20*d_GSF_i*d_Fam*d_Foffset*acf!G20*d_ET_iw*(1/24)*d_EF_iw*(1/365)))*1,".")</f>
        <v>25937.541452691818</v>
      </c>
      <c r="R20" s="61">
        <f>IFERROR((d_DL/(Rad_Spec!AY20*d_GSF_i*d_Fam*d_Foffset*acf!C20*d_ET_iw*(1/24)*d_EF_iw*(1/365)))*1,".")</f>
        <v>119021.35101733365</v>
      </c>
    </row>
    <row r="21" spans="1:18">
      <c r="A21" s="60" t="s">
        <v>26</v>
      </c>
      <c r="B21" s="88" t="s">
        <v>6</v>
      </c>
      <c r="C21" s="61" t="str">
        <f>IFERROR((d_DL/(Rad_Spec!V21*d_IFD_iw*d_EF_iw))*1,".")</f>
        <v>.</v>
      </c>
      <c r="D21" s="61">
        <f>IFERROR((d_DL/(Rad_Spec!AN21*d_IRA_iw*(1/d_PEFm_pp)*d_SLF*d_ET_iw*d_EF_iw))*1,".")</f>
        <v>7.3165487934107598E-2</v>
      </c>
      <c r="E21" s="61">
        <f>IFERROR((d_DL/(Rad_Spec!AN21*d_IRA_iw*(1/d_PEF)*d_SLF*d_ET_iw*d_EF_iw))*1,".")</f>
        <v>53.490753583107427</v>
      </c>
      <c r="F21" s="61">
        <f>IFERROR((d_DL/(Rad_Spec!AY21*d_GSF_i*d_Fam*d_Foffset*acf!C21*d_ET_iw*(1/24)*d_EF_iw*(1/365)))*1,".")</f>
        <v>1565076077.7049551</v>
      </c>
      <c r="G21" s="61">
        <f t="shared" si="6"/>
        <v>53.490751754914747</v>
      </c>
      <c r="H21" s="61">
        <f t="shared" si="7"/>
        <v>7.3165487930687195E-2</v>
      </c>
      <c r="I21" s="74">
        <f>IFERROR((d_DL/(Rad_Spec!AV21*d_GSF_i*d_Fam*d_Foffset*Fsurf!C21*d_EF_iw*(1/365)*d_ET_iw*(1/24)))*1,".")</f>
        <v>1008170151.9866868</v>
      </c>
      <c r="J21" s="61">
        <f>IFERROR((d_DL/(Rad_Spec!AZ21*d_GSF_i*d_Fam*d_Foffset*Fsurf!C21*d_EF_iw*(1/365)*d_ET_iw*(1/24)))*1,".")</f>
        <v>2146707133.971652</v>
      </c>
      <c r="K21" s="61">
        <f>IFERROR((d_DL/(Rad_Spec!BA21*d_GSF_i*d_Fam*d_Foffset*Fsurf!C21*d_EF_iw*(1/365)*d_ET_iw*(1/24)))*1,".")</f>
        <v>1147548514.012496</v>
      </c>
      <c r="L21" s="61">
        <f>IFERROR((d_DL/(Rad_Spec!BB21*d_GSF_i*d_Fam*d_Foffset*Fsurf!C21*d_EF_iw*(1/365)*d_ET_iw*(1/24)))*1,".")</f>
        <v>1008170151.9866868</v>
      </c>
      <c r="M21" s="61">
        <f>IFERROR((d_DL/(Rad_Spec!AY21*d_GSF_i*d_Fam*d_Foffset*Fsurf!C21*d_EF_iw*(1/365)*d_ET_iw*(1/24)))*1,".")</f>
        <v>1196744664.3453352</v>
      </c>
      <c r="N21" s="61">
        <f>IFERROR((d_DL/(Rad_Spec!AV21*d_GSF_i*d_Fam*d_Foffset*acf!D21*d_ET_iw*(1/24)*d_EF_iw*(1/365)))*1,".")</f>
        <v>1318462520.9870334</v>
      </c>
      <c r="O21" s="61">
        <f>IFERROR((d_DL/(Rad_Spec!AZ21*d_GSF_i*d_Fam*d_Foffset*acf!E21*d_ET_iw*(1/24)*d_EF_iw*(1/365)))*1,".")</f>
        <v>2807415885.2051497</v>
      </c>
      <c r="P21" s="61">
        <f>IFERROR((d_DL/(Rad_Spec!BA21*d_GSF_i*d_Fam*d_Foffset*acf!F21*d_ET_iw*(1/24)*d_EF_iw*(1/365)))*1,".")</f>
        <v>1500738445.5474529</v>
      </c>
      <c r="Q21" s="61">
        <f>IFERROR((d_DL/(Rad_Spec!BB21*d_GSF_i*d_Fam*d_Foffset*acf!G21*d_ET_iw*(1/24)*d_EF_iw*(1/365)))*1,".")</f>
        <v>1318462520.9870334</v>
      </c>
      <c r="R21" s="61">
        <f>IFERROR((d_DL/(Rad_Spec!AY21*d_GSF_i*d_Fam*d_Foffset*acf!C21*d_ET_iw*(1/24)*d_EF_iw*(1/365)))*1,".")</f>
        <v>1565076077.7049551</v>
      </c>
    </row>
    <row r="22" spans="1:18">
      <c r="A22" s="60" t="s">
        <v>27</v>
      </c>
      <c r="B22" s="88" t="s">
        <v>6</v>
      </c>
      <c r="C22" s="61">
        <f>IFERROR((d_DL/(Rad_Spec!V22*d_IFD_iw*d_EF_iw))*1,".")</f>
        <v>3.6919141910536059E-2</v>
      </c>
      <c r="D22" s="61">
        <f>IFERROR((d_DL/(Rad_Spec!AN22*d_IRA_iw*(1/d_PEFm_pp)*d_SLF*d_ET_iw*d_EF_iw))*1,".")</f>
        <v>1.7916927019246711E-5</v>
      </c>
      <c r="E22" s="61">
        <f>IFERROR((d_DL/(Rad_Spec!AN22*d_IRA_iw*(1/d_PEF)*d_SLF*d_ET_iw*d_EF_iw))*1,".")</f>
        <v>1.3098934418590433E-2</v>
      </c>
      <c r="F22" s="61">
        <f>IFERROR((d_DL/(Rad_Spec!AY22*d_GSF_i*d_Fam*d_Foffset*acf!C22*d_ET_iw*(1/24)*d_EF_iw*(1/365)))*1,".")</f>
        <v>851.54366591492328</v>
      </c>
      <c r="G22" s="61">
        <f t="shared" si="6"/>
        <v>9.6684231653804079E-3</v>
      </c>
      <c r="H22" s="61">
        <f t="shared" si="7"/>
        <v>1.7908235742924204E-5</v>
      </c>
      <c r="I22" s="74">
        <f>IFERROR((d_DL/(Rad_Spec!AV22*d_GSF_i*d_Fam*d_Foffset*Fsurf!C22*d_EF_iw*(1/365)*d_ET_iw*(1/24)))*1,".")</f>
        <v>891.15777821992219</v>
      </c>
      <c r="J22" s="61">
        <f>IFERROR((d_DL/(Rad_Spec!AZ22*d_GSF_i*d_Fam*d_Foffset*Fsurf!C22*d_EF_iw*(1/365)*d_ET_iw*(1/24)))*1,".")</f>
        <v>1228.561445696251</v>
      </c>
      <c r="K22" s="61">
        <f>IFERROR((d_DL/(Rad_Spec!BA22*d_GSF_i*d_Fam*d_Foffset*Fsurf!C22*d_EF_iw*(1/365)*d_ET_iw*(1/24)))*1,".")</f>
        <v>894.91002149663757</v>
      </c>
      <c r="L22" s="61">
        <f>IFERROR((d_DL/(Rad_Spec!BB22*d_GSF_i*d_Fam*d_Foffset*Fsurf!C22*d_EF_iw*(1/365)*d_ET_iw*(1/24)))*1,".")</f>
        <v>891.15777821992219</v>
      </c>
      <c r="M22" s="61">
        <f>IFERROR((d_DL/(Rad_Spec!AY22*d_GSF_i*d_Fam*d_Foffset*Fsurf!C22*d_EF_iw*(1/365)*d_ET_iw*(1/24)))*1,".")</f>
        <v>617.50809711016927</v>
      </c>
      <c r="N22" s="61">
        <f>IFERROR((d_DL/(Rad_Spec!AV22*d_GSF_i*d_Fam*d_Foffset*acf!D22*d_ET_iw*(1/24)*d_EF_iw*(1/365)))*1,".")</f>
        <v>1228.9065761652726</v>
      </c>
      <c r="O22" s="61">
        <f>IFERROR((d_DL/(Rad_Spec!AZ22*d_GSF_i*d_Fam*d_Foffset*acf!E22*d_ET_iw*(1/24)*d_EF_iw*(1/365)))*1,".")</f>
        <v>1694.1862336151303</v>
      </c>
      <c r="P22" s="61">
        <f>IFERROR((d_DL/(Rad_Spec!BA22*d_GSF_i*d_Fam*d_Foffset*acf!F22*d_ET_iw*(1/24)*d_EF_iw*(1/365)))*1,".")</f>
        <v>1234.0809196438634</v>
      </c>
      <c r="Q22" s="61">
        <f>IFERROR((d_DL/(Rad_Spec!BB22*d_GSF_i*d_Fam*d_Foffset*acf!G22*d_ET_iw*(1/24)*d_EF_iw*(1/365)))*1,".")</f>
        <v>1228.9065761652726</v>
      </c>
      <c r="R22" s="61">
        <f>IFERROR((d_DL/(Rad_Spec!AY22*d_GSF_i*d_Fam*d_Foffset*acf!C22*d_ET_iw*(1/24)*d_EF_iw*(1/365)))*1,".")</f>
        <v>851.54366591492328</v>
      </c>
    </row>
    <row r="23" spans="1:18">
      <c r="A23" s="62" t="s">
        <v>28</v>
      </c>
      <c r="B23" s="88" t="s">
        <v>8</v>
      </c>
      <c r="C23" s="61">
        <f>IFERROR((d_DL/(Rad_Spec!V23*d_IFD_iw*d_EF_iw))*1,".")</f>
        <v>1.3132666193890684E-2</v>
      </c>
      <c r="D23" s="61">
        <f>IFERROR((d_DL/(Rad_Spec!AN23*d_IRA_iw*(1/d_PEFm_pp)*d_SLF*d_ET_iw*d_EF_iw))*1,".")</f>
        <v>1.4629257886588818E-5</v>
      </c>
      <c r="E23" s="61">
        <f>IFERROR((d_DL/(Rad_Spec!AN23*d_IRA_iw*(1/d_PEF)*d_SLF*d_ET_iw*d_EF_iw))*1,".")</f>
        <v>1.0695343539839374E-2</v>
      </c>
      <c r="F23" s="61">
        <f>IFERROR((d_DL/(Rad_Spec!AY23*d_GSF_i*d_Fam*d_Foffset*acf!C23*d_ET_iw*(1/24)*d_EF_iw*(1/365)))*1,".")</f>
        <v>1402.242563632359</v>
      </c>
      <c r="G23" s="61">
        <f t="shared" si="6"/>
        <v>5.8946503572077542E-3</v>
      </c>
      <c r="H23" s="61">
        <f t="shared" si="7"/>
        <v>1.4612979467257583E-5</v>
      </c>
      <c r="I23" s="74">
        <f>IFERROR((d_DL/(Rad_Spec!AV23*d_GSF_i*d_Fam*d_Foffset*Fsurf!C23*d_EF_iw*(1/365)*d_ET_iw*(1/24)))*1,".")</f>
        <v>266.88601203370746</v>
      </c>
      <c r="J23" s="61">
        <f>IFERROR((d_DL/(Rad_Spec!AZ23*d_GSF_i*d_Fam*d_Foffset*Fsurf!C23*d_EF_iw*(1/365)*d_ET_iw*(1/24)))*1,".")</f>
        <v>1070.0618407011855</v>
      </c>
      <c r="K23" s="61">
        <f>IFERROR((d_DL/(Rad_Spec!BA23*d_GSF_i*d_Fam*d_Foffset*Fsurf!C23*d_EF_iw*(1/365)*d_ET_iw*(1/24)))*1,".")</f>
        <v>387.78309440795101</v>
      </c>
      <c r="L23" s="61">
        <f>IFERROR((d_DL/(Rad_Spec!BB23*d_GSF_i*d_Fam*d_Foffset*Fsurf!C23*d_EF_iw*(1/365)*d_ET_iw*(1/24)))*1,".")</f>
        <v>273.31700027548357</v>
      </c>
      <c r="M23" s="61">
        <f>IFERROR((d_DL/(Rad_Spec!AY23*d_GSF_i*d_Fam*d_Foffset*Fsurf!C23*d_EF_iw*(1/365)*d_ET_iw*(1/24)))*1,".")</f>
        <v>1085.3270616349525</v>
      </c>
      <c r="N23" s="61">
        <f>IFERROR((d_DL/(Rad_Spec!AV23*d_GSF_i*d_Fam*d_Foffset*acf!D23*d_ET_iw*(1/24)*d_EF_iw*(1/365)))*1,".")</f>
        <v>344.8167275475501</v>
      </c>
      <c r="O23" s="61">
        <f>IFERROR((d_DL/(Rad_Spec!AZ23*d_GSF_i*d_Fam*d_Foffset*acf!E23*d_ET_iw*(1/24)*d_EF_iw*(1/365)))*1,".")</f>
        <v>1382.5198981859319</v>
      </c>
      <c r="P23" s="61">
        <f>IFERROR((d_DL/(Rad_Spec!BA23*d_GSF_i*d_Fam*d_Foffset*acf!F23*d_ET_iw*(1/24)*d_EF_iw*(1/365)))*1,".")</f>
        <v>501.0157579750728</v>
      </c>
      <c r="Q23" s="61">
        <f>IFERROR((d_DL/(Rad_Spec!BB23*d_GSF_i*d_Fam*d_Foffset*acf!G23*d_ET_iw*(1/24)*d_EF_iw*(1/365)))*1,".")</f>
        <v>353.12556435592478</v>
      </c>
      <c r="R23" s="61">
        <f>IFERROR((d_DL/(Rad_Spec!AY23*d_GSF_i*d_Fam*d_Foffset*acf!C23*d_ET_iw*(1/24)*d_EF_iw*(1/365)))*1,".")</f>
        <v>1402.242563632359</v>
      </c>
    </row>
    <row r="24" spans="1:18">
      <c r="A24" s="60" t="s">
        <v>29</v>
      </c>
      <c r="B24" s="88" t="s">
        <v>6</v>
      </c>
      <c r="C24" s="61" t="str">
        <f>IFERROR((d_DL/(Rad_Spec!V24*d_IFD_iw*d_EF_iw))*1,".")</f>
        <v>.</v>
      </c>
      <c r="D24" s="61" t="str">
        <f>IFERROR((d_DL/(Rad_Spec!AN24*d_IRA_iw*(1/d_PEFm_pp)*d_SLF*d_ET_iw*d_EF_iw))*1,".")</f>
        <v>.</v>
      </c>
      <c r="E24" s="61" t="str">
        <f>IFERROR((d_DL/(Rad_Spec!AN24*d_IRA_iw*(1/d_PEF)*d_SLF*d_ET_iw*d_EF_iw))*1,".")</f>
        <v>.</v>
      </c>
      <c r="F24" s="61">
        <f>IFERROR((d_DL/(Rad_Spec!AY24*d_GSF_i*d_Fam*d_Foffset*acf!C24*d_ET_iw*(1/24)*d_EF_iw*(1/365)))*1,".")</f>
        <v>12937.818128541654</v>
      </c>
      <c r="G24" s="61">
        <f t="shared" si="6"/>
        <v>12937.818128541654</v>
      </c>
      <c r="H24" s="61">
        <f t="shared" si="7"/>
        <v>12937.818128541654</v>
      </c>
      <c r="I24" s="74">
        <f>IFERROR((d_DL/(Rad_Spec!AV24*d_GSF_i*d_Fam*d_Foffset*Fsurf!C24*d_EF_iw*(1/365)*d_ET_iw*(1/24)))*1,".")</f>
        <v>2155.0728549243213</v>
      </c>
      <c r="J24" s="61">
        <f>IFERROR((d_DL/(Rad_Spec!AZ24*d_GSF_i*d_Fam*d_Foffset*Fsurf!C24*d_EF_iw*(1/365)*d_ET_iw*(1/24)))*1,".")</f>
        <v>10704.93705714042</v>
      </c>
      <c r="K24" s="61">
        <f>IFERROR((d_DL/(Rad_Spec!BA24*d_GSF_i*d_Fam*d_Foffset*Fsurf!C24*d_EF_iw*(1/365)*d_ET_iw*(1/24)))*1,".")</f>
        <v>3750.813823837751</v>
      </c>
      <c r="L24" s="61">
        <f>IFERROR((d_DL/(Rad_Spec!BB24*d_GSF_i*d_Fam*d_Foffset*Fsurf!C24*d_EF_iw*(1/365)*d_ET_iw*(1/24)))*1,".")</f>
        <v>2408.6108378565946</v>
      </c>
      <c r="M24" s="61">
        <f>IFERROR((d_DL/(Rad_Spec!AY24*d_GSF_i*d_Fam*d_Foffset*Fsurf!C24*d_EF_iw*(1/365)*d_ET_iw*(1/24)))*1,".")</f>
        <v>10844.776302214294</v>
      </c>
      <c r="N24" s="61">
        <f>IFERROR((d_DL/(Rad_Spec!AV24*d_GSF_i*d_Fam*d_Foffset*acf!D24*d_ET_iw*(1/24)*d_EF_iw*(1/365)))*1,".")</f>
        <v>2571.0019159247154</v>
      </c>
      <c r="O24" s="61">
        <f>IFERROR((d_DL/(Rad_Spec!AZ24*d_GSF_i*d_Fam*d_Foffset*acf!E24*d_ET_iw*(1/24)*d_EF_iw*(1/365)))*1,".")</f>
        <v>12770.98990916852</v>
      </c>
      <c r="P24" s="61">
        <f>IFERROR((d_DL/(Rad_Spec!BA24*d_GSF_i*d_Fam*d_Foffset*acf!F24*d_ET_iw*(1/24)*d_EF_iw*(1/365)))*1,".")</f>
        <v>4474.7208918384358</v>
      </c>
      <c r="Q24" s="61">
        <f>IFERROR((d_DL/(Rad_Spec!BB24*d_GSF_i*d_Fam*d_Foffset*acf!G24*d_ET_iw*(1/24)*d_EF_iw*(1/365)))*1,".")</f>
        <v>2873.4727295629173</v>
      </c>
      <c r="R24" s="61">
        <f>IFERROR((d_DL/(Rad_Spec!AY24*d_GSF_i*d_Fam*d_Foffset*acf!C24*d_ET_iw*(1/24)*d_EF_iw*(1/365)))*1,".")</f>
        <v>12937.818128541654</v>
      </c>
    </row>
    <row r="25" spans="1:18">
      <c r="A25" s="62" t="s">
        <v>30</v>
      </c>
      <c r="B25" s="88" t="s">
        <v>8</v>
      </c>
      <c r="C25" s="61" t="str">
        <f>IFERROR((d_DL/(Rad_Spec!V25*d_IFD_iw*d_EF_iw))*1,".")</f>
        <v>.</v>
      </c>
      <c r="D25" s="61">
        <f>IFERROR((d_DL/(Rad_Spec!AN25*d_IRA_iw*(1/d_PEFm_pp)*d_SLF*d_ET_iw*d_EF_iw))*1,".")</f>
        <v>8.5117712680595412E-2</v>
      </c>
      <c r="E25" s="61">
        <f>IFERROR((d_DL/(Rad_Spec!AN25*d_IRA_iw*(1/d_PEF)*d_SLF*d_ET_iw*d_EF_iw))*1,".")</f>
        <v>62.228937756225733</v>
      </c>
      <c r="F25" s="61">
        <f>IFERROR((d_DL/(Rad_Spec!AY25*d_GSF_i*d_Fam*d_Foffset*acf!C25*d_ET_iw*(1/24)*d_EF_iw*(1/365)))*1,".")</f>
        <v>25180.054637269241</v>
      </c>
      <c r="G25" s="61">
        <f t="shared" si="6"/>
        <v>62.075526885820189</v>
      </c>
      <c r="H25" s="61">
        <f t="shared" si="7"/>
        <v>8.5117424952843204E-2</v>
      </c>
      <c r="I25" s="74">
        <f>IFERROR((d_DL/(Rad_Spec!AV25*d_GSF_i*d_Fam*d_Foffset*Fsurf!C25*d_EF_iw*(1/365)*d_ET_iw*(1/24)))*1,".")</f>
        <v>4281.4353304324977</v>
      </c>
      <c r="J25" s="61">
        <f>IFERROR((d_DL/(Rad_Spec!AZ25*d_GSF_i*d_Fam*d_Foffset*Fsurf!C25*d_EF_iw*(1/365)*d_ET_iw*(1/24)))*1,".")</f>
        <v>20681.509647004441</v>
      </c>
      <c r="K25" s="61">
        <f>IFERROR((d_DL/(Rad_Spec!BA25*d_GSF_i*d_Fam*d_Foffset*Fsurf!C25*d_EF_iw*(1/365)*d_ET_iw*(1/24)))*1,".")</f>
        <v>7252.3570233180508</v>
      </c>
      <c r="L25" s="61">
        <f>IFERROR((d_DL/(Rad_Spec!BB25*d_GSF_i*d_Fam*d_Foffset*Fsurf!C25*d_EF_iw*(1/365)*d_ET_iw*(1/24)))*1,".")</f>
        <v>4693.1118045125459</v>
      </c>
      <c r="M25" s="61">
        <f>IFERROR((d_DL/(Rad_Spec!AY25*d_GSF_i*d_Fam*d_Foffset*Fsurf!C25*d_EF_iw*(1/365)*d_ET_iw*(1/24)))*1,".")</f>
        <v>20965.907274995203</v>
      </c>
      <c r="N25" s="61">
        <f>IFERROR((d_DL/(Rad_Spec!AV25*d_GSF_i*d_Fam*d_Foffset*acf!D25*d_ET_iw*(1/24)*d_EF_iw*(1/365)))*1,".")</f>
        <v>5142.0038318494308</v>
      </c>
      <c r="O25" s="61">
        <f>IFERROR((d_DL/(Rad_Spec!AZ25*d_GSF_i*d_Fam*d_Foffset*acf!E25*d_ET_iw*(1/24)*d_EF_iw*(1/365)))*1,".")</f>
        <v>24838.493086052338</v>
      </c>
      <c r="P25" s="61">
        <f>IFERROR((d_DL/(Rad_Spec!BA25*d_GSF_i*d_Fam*d_Foffset*acf!F25*d_ET_iw*(1/24)*d_EF_iw*(1/365)))*1,".")</f>
        <v>8710.0807850049787</v>
      </c>
      <c r="Q25" s="61">
        <f>IFERROR((d_DL/(Rad_Spec!BB25*d_GSF_i*d_Fam*d_Foffset*acf!G25*d_ET_iw*(1/24)*d_EF_iw*(1/365)))*1,".")</f>
        <v>5636.42727721957</v>
      </c>
      <c r="R25" s="61">
        <f>IFERROR((d_DL/(Rad_Spec!AY25*d_GSF_i*d_Fam*d_Foffset*acf!C25*d_ET_iw*(1/24)*d_EF_iw*(1/365)))*1,".")</f>
        <v>25180.054637269241</v>
      </c>
    </row>
    <row r="26" spans="1:18">
      <c r="A26" s="60" t="s">
        <v>31</v>
      </c>
      <c r="B26" s="88" t="s">
        <v>6</v>
      </c>
      <c r="C26" s="61">
        <f>IFERROR((d_DL/(Rad_Spec!V26*d_IFD_iw*d_EF_iw))*1,".")</f>
        <v>7.3690311308404642E-3</v>
      </c>
      <c r="D26" s="61">
        <f>IFERROR((d_DL/(Rad_Spec!AN26*d_IRA_iw*(1/d_PEFm_pp)*d_SLF*d_ET_iw*d_EF_iw))*1,".")</f>
        <v>1.9957795527399315E-6</v>
      </c>
      <c r="E26" s="61">
        <f>IFERROR((d_DL/(Rad_Spec!AN26*d_IRA_iw*(1/d_PEF)*d_SLF*d_ET_iw*d_EF_iw))*1,".")</f>
        <v>1.4590998471568945E-3</v>
      </c>
      <c r="F26" s="61">
        <f>IFERROR((d_DL/(Rad_Spec!AY26*d_GSF_i*d_Fam*d_Foffset*acf!C26*d_ET_iw*(1/24)*d_EF_iw*(1/365)))*1,".")</f>
        <v>120.86426225889237</v>
      </c>
      <c r="G26" s="61">
        <f t="shared" si="6"/>
        <v>1.2179298059562564E-3</v>
      </c>
      <c r="H26" s="61">
        <f t="shared" si="7"/>
        <v>1.9952391424476437E-6</v>
      </c>
      <c r="I26" s="74">
        <f>IFERROR((d_DL/(Rad_Spec!AV26*d_GSF_i*d_Fam*d_Foffset*Fsurf!C26*d_EF_iw*(1/365)*d_ET_iw*(1/24)))*1,".")</f>
        <v>27.227599577821518</v>
      </c>
      <c r="J26" s="61">
        <f>IFERROR((d_DL/(Rad_Spec!AZ26*d_GSF_i*d_Fam*d_Foffset*Fsurf!C26*d_EF_iw*(1/365)*d_ET_iw*(1/24)))*1,".")</f>
        <v>91.351859149989423</v>
      </c>
      <c r="K26" s="61">
        <f>IFERROR((d_DL/(Rad_Spec!BA26*d_GSF_i*d_Fam*d_Foffset*Fsurf!C26*d_EF_iw*(1/365)*d_ET_iw*(1/24)))*1,".")</f>
        <v>35.838037051149698</v>
      </c>
      <c r="L26" s="61">
        <f>IFERROR((d_DL/(Rad_Spec!BB26*d_GSF_i*d_Fam*d_Foffset*Fsurf!C26*d_EF_iw*(1/365)*d_ET_iw*(1/24)))*1,".")</f>
        <v>27.58585746700339</v>
      </c>
      <c r="M26" s="61">
        <f>IFERROR((d_DL/(Rad_Spec!AY26*d_GSF_i*d_Fam*d_Foffset*Fsurf!C26*d_EF_iw*(1/365)*d_ET_iw*(1/24)))*1,".")</f>
        <v>86.455123218091828</v>
      </c>
      <c r="N26" s="61">
        <f>IFERROR((d_DL/(Rad_Spec!AV26*d_GSF_i*d_Fam*d_Foffset*acf!D26*d_ET_iw*(1/24)*d_EF_iw*(1/365)))*1,".")</f>
        <v>38.06418420979449</v>
      </c>
      <c r="O26" s="61">
        <f>IFERROR((d_DL/(Rad_Spec!AZ26*d_GSF_i*d_Fam*d_Foffset*acf!E26*d_ET_iw*(1/24)*d_EF_iw*(1/365)))*1,".")</f>
        <v>127.70989909168522</v>
      </c>
      <c r="P26" s="61">
        <f>IFERROR((d_DL/(Rad_Spec!BA26*d_GSF_i*d_Fam*d_Foffset*acf!F26*d_ET_iw*(1/24)*d_EF_iw*(1/365)))*1,".")</f>
        <v>50.101575797507273</v>
      </c>
      <c r="Q26" s="61">
        <f>IFERROR((d_DL/(Rad_Spec!BB26*d_GSF_i*d_Fam*d_Foffset*acf!G26*d_ET_iw*(1/24)*d_EF_iw*(1/365)))*1,".")</f>
        <v>38.56502873887073</v>
      </c>
      <c r="R26" s="61">
        <f>IFERROR((d_DL/(Rad_Spec!AY26*d_GSF_i*d_Fam*d_Foffset*acf!C26*d_ET_iw*(1/24)*d_EF_iw*(1/365)))*1,".")</f>
        <v>120.86426225889237</v>
      </c>
    </row>
    <row r="27" spans="1:18">
      <c r="A27" s="60" t="s">
        <v>32</v>
      </c>
      <c r="B27" s="88" t="s">
        <v>6</v>
      </c>
      <c r="C27" s="61" t="str">
        <f>IFERROR((d_DL/(Rad_Spec!V27*d_IFD_iw*d_EF_iw))*1,".")</f>
        <v>.</v>
      </c>
      <c r="D27" s="61" t="str">
        <f>IFERROR((d_DL/(Rad_Spec!AN27*d_IRA_iw*(1/d_PEFm_pp)*d_SLF*d_ET_iw*d_EF_iw))*1,".")</f>
        <v>.</v>
      </c>
      <c r="E27" s="61" t="str">
        <f>IFERROR((d_DL/(Rad_Spec!AN27*d_IRA_iw*(1/d_PEF)*d_SLF*d_ET_iw*d_EF_iw))*1,".")</f>
        <v>.</v>
      </c>
      <c r="F27" s="61">
        <f>IFERROR((d_DL/(Rad_Spec!AY27*d_GSF_i*d_Fam*d_Foffset*acf!C27*d_ET_iw*(1/24)*d_EF_iw*(1/365)))*1,".")</f>
        <v>153.05523406967578</v>
      </c>
      <c r="G27" s="61">
        <f t="shared" si="6"/>
        <v>153.05523406967578</v>
      </c>
      <c r="H27" s="61">
        <f t="shared" si="7"/>
        <v>153.05523406967578</v>
      </c>
      <c r="I27" s="74">
        <f>IFERROR((d_DL/(Rad_Spec!AV27*d_GSF_i*d_Fam*d_Foffset*Fsurf!C27*d_EF_iw*(1/365)*d_ET_iw*(1/24)))*1,".")</f>
        <v>641.948043926271</v>
      </c>
      <c r="J27" s="61">
        <f>IFERROR((d_DL/(Rad_Spec!AZ27*d_GSF_i*d_Fam*d_Foffset*Fsurf!C27*d_EF_iw*(1/365)*d_ET_iw*(1/24)))*1,".")</f>
        <v>1081.5085272058361</v>
      </c>
      <c r="K27" s="61">
        <f>IFERROR((d_DL/(Rad_Spec!BA27*d_GSF_i*d_Fam*d_Foffset*Fsurf!C27*d_EF_iw*(1/365)*d_ET_iw*(1/24)))*1,".")</f>
        <v>775.7817350628435</v>
      </c>
      <c r="L27" s="61">
        <f>IFERROR((d_DL/(Rad_Spec!BB27*d_GSF_i*d_Fam*d_Foffset*Fsurf!C27*d_EF_iw*(1/365)*d_ET_iw*(1/24)))*1,".")</f>
        <v>658.30953829920441</v>
      </c>
      <c r="M27" s="61">
        <f>IFERROR((d_DL/(Rad_Spec!AY27*d_GSF_i*d_Fam*d_Foffset*Fsurf!C27*d_EF_iw*(1/365)*d_ET_iw*(1/24)))*1,".")</f>
        <v>114.64811540799681</v>
      </c>
      <c r="N27" s="61">
        <f>IFERROR((d_DL/(Rad_Spec!AV27*d_GSF_i*d_Fam*d_Foffset*acf!D27*d_ET_iw*(1/24)*d_EF_iw*(1/365)))*1,".")</f>
        <v>857.00063864157187</v>
      </c>
      <c r="O27" s="61">
        <f>IFERROR((d_DL/(Rad_Spec!AZ27*d_GSF_i*d_Fam*d_Foffset*acf!E27*d_ET_iw*(1/24)*d_EF_iw*(1/365)))*1,".")</f>
        <v>1443.813883819791</v>
      </c>
      <c r="P27" s="61">
        <f>IFERROR((d_DL/(Rad_Spec!BA27*d_GSF_i*d_Fam*d_Foffset*acf!F27*d_ET_iw*(1/24)*d_EF_iw*(1/365)))*1,".")</f>
        <v>1035.6686163088959</v>
      </c>
      <c r="Q27" s="61">
        <f>IFERROR((d_DL/(Rad_Spec!BB27*d_GSF_i*d_Fam*d_Foffset*acf!G27*d_ET_iw*(1/24)*d_EF_iw*(1/365)))*1,".")</f>
        <v>878.84323362943803</v>
      </c>
      <c r="R27" s="61">
        <f>IFERROR((d_DL/(Rad_Spec!AY27*d_GSF_i*d_Fam*d_Foffset*acf!C27*d_ET_iw*(1/24)*d_EF_iw*(1/365)))*1,".")</f>
        <v>153.05523406967578</v>
      </c>
    </row>
    <row r="28" spans="1:18">
      <c r="A28" s="60" t="s">
        <v>33</v>
      </c>
      <c r="B28" s="88" t="s">
        <v>6</v>
      </c>
      <c r="C28" s="61" t="str">
        <f>IFERROR((d_DL/(Rad_Spec!V28*d_IFD_iw*d_EF_iw))*1,".")</f>
        <v>.</v>
      </c>
      <c r="D28" s="61" t="str">
        <f>IFERROR((d_DL/(Rad_Spec!AN28*d_IRA_iw*(1/d_PEFm_pp)*d_SLF*d_ET_iw*d_EF_iw))*1,".")</f>
        <v>.</v>
      </c>
      <c r="E28" s="61" t="str">
        <f>IFERROR((d_DL/(Rad_Spec!AN28*d_IRA_iw*(1/d_PEF)*d_SLF*d_ET_iw*d_EF_iw))*1,".")</f>
        <v>.</v>
      </c>
      <c r="F28" s="61">
        <f>IFERROR((d_DL/(Rad_Spec!AY28*d_GSF_i*d_Fam*d_Foffset*acf!C28*d_ET_iw*(1/24)*d_EF_iw*(1/365)))*1,".")</f>
        <v>4.6371189728040383</v>
      </c>
      <c r="G28" s="61">
        <f t="shared" si="6"/>
        <v>4.6371189728040383</v>
      </c>
      <c r="H28" s="61">
        <f t="shared" si="7"/>
        <v>4.6371189728040383</v>
      </c>
      <c r="I28" s="74">
        <f>IFERROR((d_DL/(Rad_Spec!AV28*d_GSF_i*d_Fam*d_Foffset*Fsurf!C28*d_EF_iw*(1/365)*d_ET_iw*(1/24)))*1,".")</f>
        <v>0.73280058209020438</v>
      </c>
      <c r="J28" s="61">
        <f>IFERROR((d_DL/(Rad_Spec!AZ28*d_GSF_i*d_Fam*d_Foffset*Fsurf!C28*d_EF_iw*(1/365)*d_ET_iw*(1/24)))*1,".")</f>
        <v>4.0071396909535775</v>
      </c>
      <c r="K28" s="61">
        <f>IFERROR((d_DL/(Rad_Spec!BA28*d_GSF_i*d_Fam*d_Foffset*Fsurf!C28*d_EF_iw*(1/365)*d_ET_iw*(1/24)))*1,".")</f>
        <v>1.3947502791716873</v>
      </c>
      <c r="L28" s="61">
        <f>IFERROR((d_DL/(Rad_Spec!BB28*d_GSF_i*d_Fam*d_Foffset*Fsurf!C28*d_EF_iw*(1/365)*d_ET_iw*(1/24)))*1,".")</f>
        <v>0.87202003637331726</v>
      </c>
      <c r="M28" s="61">
        <f>IFERROR((d_DL/(Rad_Spec!AY28*d_GSF_i*d_Fam*d_Foffset*Fsurf!C28*d_EF_iw*(1/365)*d_ET_iw*(1/24)))*1,".")</f>
        <v>3.9940731893230299</v>
      </c>
      <c r="N28" s="61">
        <f>IFERROR((d_DL/(Rad_Spec!AV28*d_GSF_i*d_Fam*d_Foffset*acf!D28*d_ET_iw*(1/24)*d_EF_iw*(1/365)))*1,".")</f>
        <v>0.85078147580672725</v>
      </c>
      <c r="O28" s="61">
        <f>IFERROR((d_DL/(Rad_Spec!AZ28*d_GSF_i*d_Fam*d_Foffset*acf!E28*d_ET_iw*(1/24)*d_EF_iw*(1/365)))*1,".")</f>
        <v>4.6522891811971041</v>
      </c>
      <c r="P28" s="61">
        <f>IFERROR((d_DL/(Rad_Spec!BA28*d_GSF_i*d_Fam*d_Foffset*acf!F28*d_ET_iw*(1/24)*d_EF_iw*(1/365)))*1,".")</f>
        <v>1.619305074118329</v>
      </c>
      <c r="Q28" s="61">
        <f>IFERROR((d_DL/(Rad_Spec!BB28*d_GSF_i*d_Fam*d_Foffset*acf!G28*d_ET_iw*(1/24)*d_EF_iw*(1/365)))*1,".")</f>
        <v>1.0124152622294214</v>
      </c>
      <c r="R28" s="61">
        <f>IFERROR((d_DL/(Rad_Spec!AY28*d_GSF_i*d_Fam*d_Foffset*acf!C28*d_ET_iw*(1/24)*d_EF_iw*(1/365)))*1,".")</f>
        <v>4.6371189728040383</v>
      </c>
    </row>
    <row r="29" spans="1:18">
      <c r="A29" s="60" t="s">
        <v>34</v>
      </c>
      <c r="B29" s="88" t="s">
        <v>6</v>
      </c>
      <c r="C29" s="61" t="str">
        <f>IFERROR((d_DL/(Rad_Spec!V29*d_IFD_iw*d_EF_iw))*1,".")</f>
        <v>.</v>
      </c>
      <c r="D29" s="61" t="str">
        <f>IFERROR((d_DL/(Rad_Spec!AN29*d_IRA_iw*(1/d_PEFm_pp)*d_SLF*d_ET_iw*d_EF_iw))*1,".")</f>
        <v>.</v>
      </c>
      <c r="E29" s="61" t="str">
        <f>IFERROR((d_DL/(Rad_Spec!AN29*d_IRA_iw*(1/d_PEF)*d_SLF*d_ET_iw*d_EF_iw))*1,".")</f>
        <v>.</v>
      </c>
      <c r="F29" s="61">
        <f>IFERROR((d_DL/(Rad_Spec!AY29*d_GSF_i*d_Fam*d_Foffset*acf!C29*d_ET_iw*(1/24)*d_EF_iw*(1/365)))*1,".")</f>
        <v>3.5480986079788481</v>
      </c>
      <c r="G29" s="61">
        <f t="shared" si="6"/>
        <v>3.5480986079788481</v>
      </c>
      <c r="H29" s="61">
        <f t="shared" si="7"/>
        <v>3.5480986079788481</v>
      </c>
      <c r="I29" s="74" t="str">
        <f>IFERROR((d_DL/(Rad_Spec!AV29*d_GSF_i*d_Fam*d_Foffset*Fsurf!C29*d_EF_iw*(1/365)*d_ET_iw*(1/24)))*1,".")</f>
        <v>.</v>
      </c>
      <c r="J29" s="61" t="str">
        <f>IFERROR((d_DL/(Rad_Spec!AZ29*d_GSF_i*d_Fam*d_Foffset*Fsurf!C29*d_EF_iw*(1/365)*d_ET_iw*(1/24)))*1,".")</f>
        <v>.</v>
      </c>
      <c r="K29" s="61" t="str">
        <f>IFERROR((d_DL/(Rad_Spec!BA29*d_GSF_i*d_Fam*d_Foffset*Fsurf!C29*d_EF_iw*(1/365)*d_ET_iw*(1/24)))*1,".")</f>
        <v>.</v>
      </c>
      <c r="L29" s="61" t="str">
        <f>IFERROR((d_DL/(Rad_Spec!BB29*d_GSF_i*d_Fam*d_Foffset*Fsurf!C29*d_EF_iw*(1/365)*d_ET_iw*(1/24)))*1,".")</f>
        <v>.</v>
      </c>
      <c r="M29" s="61" t="str">
        <f>IFERROR((d_DL/(Rad_Spec!AY29*d_GSF_i*d_Fam*d_Foffset*Fsurf!C29*d_EF_iw*(1/365)*d_ET_iw*(1/24)))*1,".")</f>
        <v>.</v>
      </c>
      <c r="N29" s="61">
        <f>IFERROR((d_DL/(Rad_Spec!AV29*d_GSF_i*d_Fam*d_Foffset*acf!D29*d_ET_iw*(1/24)*d_EF_iw*(1/365)))*1,".")</f>
        <v>0.65277108778489434</v>
      </c>
      <c r="O29" s="61">
        <f>IFERROR((d_DL/(Rad_Spec!AZ29*d_GSF_i*d_Fam*d_Foffset*acf!E29*d_ET_iw*(1/24)*d_EF_iw*(1/365)))*1,".")</f>
        <v>3.574319736773385</v>
      </c>
      <c r="P29" s="61">
        <f>IFERROR((d_DL/(Rad_Spec!BA29*d_GSF_i*d_Fam*d_Foffset*acf!F29*d_ET_iw*(1/24)*d_EF_iw*(1/365)))*1,".")</f>
        <v>1.2445614370081426</v>
      </c>
      <c r="Q29" s="61">
        <f>IFERROR((d_DL/(Rad_Spec!BB29*d_GSF_i*d_Fam*d_Foffset*acf!G29*d_ET_iw*(1/24)*d_EF_iw*(1/365)))*1,".")</f>
        <v>0.77435724812527751</v>
      </c>
      <c r="R29" s="61">
        <f>IFERROR((d_DL/(Rad_Spec!AY29*d_GSF_i*d_Fam*d_Foffset*acf!C29*d_ET_iw*(1/24)*d_EF_iw*(1/365)))*1,".")</f>
        <v>3.5480986079788481</v>
      </c>
    </row>
    <row r="30" spans="1:18">
      <c r="A30" s="60" t="s">
        <v>35</v>
      </c>
      <c r="B30" s="88" t="s">
        <v>6</v>
      </c>
      <c r="C30" s="61">
        <f>IFERROR((d_DL/(Rad_Spec!V30*d_IFD_iw*d_EF_iw))*1,".")</f>
        <v>7.1819268247839671E-2</v>
      </c>
      <c r="D30" s="61">
        <f>IFERROR((d_DL/(Rad_Spec!AN30*d_IRA_iw*(1/d_PEFm_pp)*d_SLF*d_ET_iw*d_EF_iw))*1,".")</f>
        <v>1.4629257886588818E-5</v>
      </c>
      <c r="E30" s="61">
        <f>IFERROR((d_DL/(Rad_Spec!AN30*d_IRA_iw*(1/d_PEF)*d_SLF*d_ET_iw*d_EF_iw))*1,".")</f>
        <v>1.0695343539839374E-2</v>
      </c>
      <c r="F30" s="61">
        <f>IFERROR((d_DL/(Rad_Spec!AY30*d_GSF_i*d_Fam*d_Foffset*acf!C30*d_ET_iw*(1/24)*d_EF_iw*(1/365)))*1,".")</f>
        <v>19678.530094672598</v>
      </c>
      <c r="G30" s="61">
        <f t="shared" si="6"/>
        <v>9.3090346870705141E-3</v>
      </c>
      <c r="H30" s="61">
        <f t="shared" si="7"/>
        <v>1.462627856937703E-5</v>
      </c>
      <c r="I30" s="74">
        <f>IFERROR((d_DL/(Rad_Spec!AV30*d_GSF_i*d_Fam*d_Foffset*Fsurf!C30*d_EF_iw*(1/365)*d_ET_iw*(1/24)))*1,".")</f>
        <v>8331.7476381663982</v>
      </c>
      <c r="J30" s="61">
        <f>IFERROR((d_DL/(Rad_Spec!AZ30*d_GSF_i*d_Fam*d_Foffset*Fsurf!C30*d_EF_iw*(1/365)*d_ET_iw*(1/24)))*1,".")</f>
        <v>28270.481641226677</v>
      </c>
      <c r="K30" s="61">
        <f>IFERROR((d_DL/(Rad_Spec!BA30*d_GSF_i*d_Fam*d_Foffset*Fsurf!C30*d_EF_iw*(1/365)*d_ET_iw*(1/24)))*1,".")</f>
        <v>11678.688997087944</v>
      </c>
      <c r="L30" s="61">
        <f>IFERROR((d_DL/(Rad_Spec!BB30*d_GSF_i*d_Fam*d_Foffset*Fsurf!C30*d_EF_iw*(1/365)*d_ET_iw*(1/24)))*1,".")</f>
        <v>8611.8063823064458</v>
      </c>
      <c r="M30" s="61">
        <f>IFERROR((d_DL/(Rad_Spec!AY30*d_GSF_i*d_Fam*d_Foffset*Fsurf!C30*d_EF_iw*(1/365)*d_ET_iw*(1/24)))*1,".")</f>
        <v>13761.209856414405</v>
      </c>
      <c r="N30" s="61">
        <f>IFERROR((d_DL/(Rad_Spec!AV30*d_GSF_i*d_Fam*d_Foffset*acf!D30*d_ET_iw*(1/24)*d_EF_iw*(1/365)))*1,".")</f>
        <v>11914.39912257795</v>
      </c>
      <c r="O30" s="61">
        <f>IFERROR((d_DL/(Rad_Spec!AZ30*d_GSF_i*d_Fam*d_Foffset*acf!E30*d_ET_iw*(1/24)*d_EF_iw*(1/365)))*1,".")</f>
        <v>40426.788746954138</v>
      </c>
      <c r="P30" s="61">
        <f>IFERROR((d_DL/(Rad_Spec!BA30*d_GSF_i*d_Fam*d_Foffset*acf!F30*d_ET_iw*(1/24)*d_EF_iw*(1/365)))*1,".")</f>
        <v>16700.525265835757</v>
      </c>
      <c r="Q30" s="61">
        <f>IFERROR((d_DL/(Rad_Spec!BB30*d_GSF_i*d_Fam*d_Foffset*acf!G30*d_ET_iw*(1/24)*d_EF_iw*(1/365)))*1,".")</f>
        <v>12314.883126698218</v>
      </c>
      <c r="R30" s="61">
        <f>IFERROR((d_DL/(Rad_Spec!AY30*d_GSF_i*d_Fam*d_Foffset*acf!C30*d_ET_iw*(1/24)*d_EF_iw*(1/365)))*1,".")</f>
        <v>19678.530094672598</v>
      </c>
    </row>
    <row r="31" spans="1:18">
      <c r="A31" s="63" t="s">
        <v>7</v>
      </c>
      <c r="B31" s="82" t="s">
        <v>6</v>
      </c>
      <c r="C31" s="67">
        <f>IFERROR(1/SUM(1/C32,1/C33,1/C34,1/C35,1/C36,1/C37,1/C38,1/C41,1/C44),0)</f>
        <v>3.6748656574943782E-3</v>
      </c>
      <c r="D31" s="67">
        <f>IFERROR(1/SUM(1/D32,1/D33,1/D34,1/D35,1/D36,1/D37,1/D38,1/D41,1/D44),0)</f>
        <v>7.0369059868510335E-7</v>
      </c>
      <c r="E31" s="67">
        <f t="shared" ref="E31" si="8">IFERROR(1/SUM(1/E32,1/E33,1/E34,1/E35,1/E36,1/E37,1/E38,1/E41,1/E44),0)</f>
        <v>5.1446305458816065E-4</v>
      </c>
      <c r="F31" s="67">
        <f>IFERROR(1/SUM(1/F32,1/F33,1/F34,1/F35,1/F36,1/F37,1/F38,1/F39,1/F40,1/F41,1/F42,1/F43,1/F44),0)</f>
        <v>15.968207705825639</v>
      </c>
      <c r="G31" s="73">
        <f t="shared" ref="G31:H31" si="9">IFERROR(1/SUM(1/G32,1/G33,1/G34,1/G35,1/G36,1/G37,1/G38,1/G39,1/G40,1/G41,1/G42,1/G43,1/G44),0)</f>
        <v>4.5127258138815036E-4</v>
      </c>
      <c r="H31" s="73">
        <f t="shared" si="9"/>
        <v>7.0355584557640343E-7</v>
      </c>
      <c r="I31" s="75">
        <f>IFERROR(1/SUM(1/I32,1/I33,1/I34,1/I35,1/I36,1/I37,1/I38,1/I39,1/I40,1/I41,1/I43,1/I44),0)</f>
        <v>3.350132268092211</v>
      </c>
      <c r="J31" s="75">
        <f>IFERROR(1/SUM(1/J32,1/J33,1/J34,1/J35,1/J36,1/J37,1/J38,1/J39,1/J40,1/J41,1/J43,1/J44),0)</f>
        <v>13.834101443069692</v>
      </c>
      <c r="K31" s="75">
        <f t="shared" ref="K31:N31" si="10">IFERROR(1/SUM(1/K32,1/K33,1/K34,1/K35,1/K36,1/K37,1/K38,1/K39,1/K40,1/K41,1/K43,1/K44),0)</f>
        <v>5.1428223300487614</v>
      </c>
      <c r="L31" s="75">
        <f t="shared" si="10"/>
        <v>3.5733978997195397</v>
      </c>
      <c r="M31" s="75">
        <f t="shared" si="10"/>
        <v>12.413429132052809</v>
      </c>
      <c r="N31" s="75">
        <f t="shared" si="10"/>
        <v>4.2706452826562016</v>
      </c>
      <c r="O31" s="75">
        <f t="shared" ref="O31:R31" si="11">IFERROR(1/SUM(1/O32,1/O33,1/O34,1/O35,1/O36,1/O37,1/O38,1/O39,1/O40,1/O41,1/O42,1/O43,1/O44),0)</f>
        <v>17.798634707837827</v>
      </c>
      <c r="P31" s="75">
        <f t="shared" si="11"/>
        <v>6.5954598619841383</v>
      </c>
      <c r="Q31" s="75">
        <f t="shared" si="11"/>
        <v>4.5651415278936121</v>
      </c>
      <c r="R31" s="75">
        <f t="shared" si="11"/>
        <v>15.968207705825639</v>
      </c>
    </row>
    <row r="32" spans="1:18">
      <c r="A32" s="65" t="s">
        <v>390</v>
      </c>
      <c r="B32" s="89">
        <v>1</v>
      </c>
      <c r="C32" s="69">
        <f>IFERROR(C3/$B32,0)</f>
        <v>1.8025228109261722E-2</v>
      </c>
      <c r="D32" s="69">
        <f>IFERROR(D3/$B32,0)</f>
        <v>1.5359975151056557E-6</v>
      </c>
      <c r="E32" s="69">
        <f>IFERROR(E3/$B32,0)</f>
        <v>1.1229565592288026E-3</v>
      </c>
      <c r="F32" s="69">
        <f>IFERROR(F3/$B32,0)</f>
        <v>429.67799656257608</v>
      </c>
      <c r="G32" s="70">
        <f t="shared" ref="G32:G44" si="12">(IF(AND(C32&lt;&gt;0,E32&lt;&gt;0,F32&lt;&gt;0),1/((1/C32)+(1/E32)+(1/F32)),IF(AND(C32&lt;&gt;0,E32&lt;&gt;0,F32=0), 1/((1/C32)+(1/E32)),IF(AND(C32&lt;&gt;0,E32=0,F32&lt;&gt;0),1/((1/C32)+(1/F32)),IF(AND(C32=0,E32&lt;&gt;0,F32&lt;&gt;0),1/((1/E32)+(1/F32)),IF(AND(C32&lt;&gt;0,E32=0,F32=0),1/(1/C32),IF(AND(C32=0,E32&lt;&gt;0,F32=0),1/(1/E32),IF(AND(C32=0,E32=0,F32&lt;&gt;0),1/(1/F32),IF(AND(C32=0,E32=0,F32=0),0)))))))))</f>
        <v>1.0570975102286461E-3</v>
      </c>
      <c r="H32" s="70">
        <f t="shared" ref="H32:H44" si="13">(IF(AND(C32&lt;&gt;0,D32&lt;&gt;0,F32&lt;&gt;0),1/((1/C32)+(1/D32)+(1/F32)),IF(AND(C32&lt;&gt;0,D32&lt;&gt;0,F32=0), 1/((1/C32)+(1/D32)),IF(AND(C32&lt;&gt;0,D32=0,F32&lt;&gt;0),1/((1/C32)+(1/F32)),IF(AND(C32=0,D32&lt;&gt;0,F32&lt;&gt;0),1/((1/D32)+(1/F32)),IF(AND(C32&lt;&gt;0,D32=0,F32=0),1/(1/C32),IF(AND(C32=0,D32&lt;&gt;0,F32=0),1/(1/D32),IF(AND(C32=0,D32=0,F32&lt;&gt;0),1/(1/F32),IF(AND(C32=0,D32=0,F32=0),0)))))))))</f>
        <v>1.535866632640148E-6</v>
      </c>
      <c r="I32" s="69">
        <f t="shared" ref="I32:R32" si="14">IFERROR(I3/$B32,0)</f>
        <v>211.46235009607807</v>
      </c>
      <c r="J32" s="69">
        <f t="shared" si="14"/>
        <v>429.39803743999528</v>
      </c>
      <c r="K32" s="69">
        <f t="shared" si="14"/>
        <v>227.46490631956507</v>
      </c>
      <c r="L32" s="69">
        <f t="shared" si="14"/>
        <v>211.46235009607807</v>
      </c>
      <c r="M32" s="69">
        <f t="shared" si="14"/>
        <v>308.45513033925056</v>
      </c>
      <c r="N32" s="69">
        <f t="shared" si="14"/>
        <v>294.56705368383672</v>
      </c>
      <c r="O32" s="69">
        <f t="shared" si="14"/>
        <v>598.15146615391336</v>
      </c>
      <c r="P32" s="69">
        <f t="shared" si="14"/>
        <v>316.85861450315412</v>
      </c>
      <c r="Q32" s="69">
        <f t="shared" si="14"/>
        <v>294.56705368383672</v>
      </c>
      <c r="R32" s="69">
        <f t="shared" si="14"/>
        <v>429.67799656257608</v>
      </c>
    </row>
    <row r="33" spans="1:18">
      <c r="A33" s="65" t="s">
        <v>391</v>
      </c>
      <c r="B33" s="89">
        <v>1</v>
      </c>
      <c r="C33" s="71">
        <f t="shared" ref="C33:F34" si="15">IFERROR(C13/$B33,0)</f>
        <v>3.436585546064852E-2</v>
      </c>
      <c r="D33" s="71">
        <f t="shared" si="15"/>
        <v>1.1958837796179748E-5</v>
      </c>
      <c r="E33" s="71">
        <f t="shared" si="15"/>
        <v>8.7430189254242494E-3</v>
      </c>
      <c r="F33" s="71">
        <f t="shared" si="15"/>
        <v>383.89263627312118</v>
      </c>
      <c r="G33" s="70">
        <f t="shared" si="12"/>
        <v>6.9696987913559936E-3</v>
      </c>
      <c r="H33" s="70">
        <f t="shared" si="13"/>
        <v>1.1954677362992933E-5</v>
      </c>
      <c r="I33" s="71">
        <f t="shared" ref="I33:R33" si="16">IFERROR(I13/$B33,0)</f>
        <v>116.79805947032075</v>
      </c>
      <c r="J33" s="71">
        <f t="shared" si="16"/>
        <v>349.42086124870957</v>
      </c>
      <c r="K33" s="71">
        <f t="shared" si="16"/>
        <v>146.61015157288514</v>
      </c>
      <c r="L33" s="71">
        <f t="shared" si="16"/>
        <v>117.124311033087</v>
      </c>
      <c r="M33" s="71">
        <f t="shared" si="16"/>
        <v>274.60131350008675</v>
      </c>
      <c r="N33" s="71">
        <f t="shared" si="16"/>
        <v>163.28368713950837</v>
      </c>
      <c r="O33" s="71">
        <f t="shared" si="16"/>
        <v>488.49036402569595</v>
      </c>
      <c r="P33" s="71">
        <f t="shared" si="16"/>
        <v>204.96099189889341</v>
      </c>
      <c r="Q33" s="71">
        <f t="shared" si="16"/>
        <v>163.73978682425559</v>
      </c>
      <c r="R33" s="71">
        <f t="shared" si="16"/>
        <v>383.89263627312118</v>
      </c>
    </row>
    <row r="34" spans="1:18">
      <c r="A34" s="65" t="s">
        <v>392</v>
      </c>
      <c r="B34" s="89">
        <v>1</v>
      </c>
      <c r="C34" s="71">
        <f t="shared" si="15"/>
        <v>3.8065699112726623</v>
      </c>
      <c r="D34" s="71">
        <f t="shared" si="15"/>
        <v>3.3044157068391415E-2</v>
      </c>
      <c r="E34" s="71">
        <f t="shared" si="15"/>
        <v>24.158341767619639</v>
      </c>
      <c r="F34" s="71">
        <f t="shared" si="15"/>
        <v>46.371189728040385</v>
      </c>
      <c r="G34" s="70">
        <f t="shared" si="12"/>
        <v>3.0706647437880434</v>
      </c>
      <c r="H34" s="70">
        <f t="shared" si="13"/>
        <v>3.2736647876009238E-2</v>
      </c>
      <c r="I34" s="71">
        <f t="shared" ref="I34:R34" si="17">IFERROR(I14/$B34,0)</f>
        <v>8.3248847790330771</v>
      </c>
      <c r="J34" s="71">
        <f t="shared" si="17"/>
        <v>35.724899248606512</v>
      </c>
      <c r="K34" s="71">
        <f t="shared" si="17"/>
        <v>12.852867435051071</v>
      </c>
      <c r="L34" s="71">
        <f t="shared" si="17"/>
        <v>8.7927562104128434</v>
      </c>
      <c r="M34" s="71">
        <f t="shared" si="17"/>
        <v>35.891013721393477</v>
      </c>
      <c r="N34" s="71">
        <f t="shared" si="17"/>
        <v>10.755751134510737</v>
      </c>
      <c r="O34" s="71">
        <f t="shared" si="17"/>
        <v>46.156569829199618</v>
      </c>
      <c r="P34" s="71">
        <f t="shared" si="17"/>
        <v>16.605904726085981</v>
      </c>
      <c r="Q34" s="71">
        <f t="shared" si="17"/>
        <v>11.360241023853396</v>
      </c>
      <c r="R34" s="71">
        <f t="shared" si="17"/>
        <v>46.371189728040385</v>
      </c>
    </row>
    <row r="35" spans="1:18">
      <c r="A35" s="65" t="s">
        <v>393</v>
      </c>
      <c r="B35" s="89">
        <v>1</v>
      </c>
      <c r="C35" s="71">
        <f>IFERROR(C30/$B35,0)</f>
        <v>7.1819268247839671E-2</v>
      </c>
      <c r="D35" s="71">
        <f>IFERROR(D30/$B35,0)</f>
        <v>1.4629257886588818E-5</v>
      </c>
      <c r="E35" s="71">
        <f>IFERROR(E30/$B35,0)</f>
        <v>1.0695343539839374E-2</v>
      </c>
      <c r="F35" s="71">
        <f>IFERROR(F30/$B35,0)</f>
        <v>19678.530094672598</v>
      </c>
      <c r="G35" s="70">
        <f t="shared" si="12"/>
        <v>9.3090346870705141E-3</v>
      </c>
      <c r="H35" s="70">
        <f t="shared" si="13"/>
        <v>1.462627856937703E-5</v>
      </c>
      <c r="I35" s="71">
        <f t="shared" ref="I35:R35" si="18">IFERROR(I30/$B35,0)</f>
        <v>8331.7476381663982</v>
      </c>
      <c r="J35" s="71">
        <f t="shared" si="18"/>
        <v>28270.481641226677</v>
      </c>
      <c r="K35" s="71">
        <f t="shared" si="18"/>
        <v>11678.688997087944</v>
      </c>
      <c r="L35" s="71">
        <f t="shared" si="18"/>
        <v>8611.8063823064458</v>
      </c>
      <c r="M35" s="71">
        <f t="shared" si="18"/>
        <v>13761.209856414405</v>
      </c>
      <c r="N35" s="71">
        <f t="shared" si="18"/>
        <v>11914.39912257795</v>
      </c>
      <c r="O35" s="71">
        <f t="shared" si="18"/>
        <v>40426.788746954138</v>
      </c>
      <c r="P35" s="71">
        <f t="shared" si="18"/>
        <v>16700.525265835757</v>
      </c>
      <c r="Q35" s="71">
        <f t="shared" si="18"/>
        <v>12314.883126698218</v>
      </c>
      <c r="R35" s="71">
        <f t="shared" si="18"/>
        <v>19678.530094672598</v>
      </c>
    </row>
    <row r="36" spans="1:18">
      <c r="A36" s="65" t="s">
        <v>394</v>
      </c>
      <c r="B36" s="89">
        <v>1</v>
      </c>
      <c r="C36" s="71">
        <f>IFERROR(C26/$B36,0)</f>
        <v>7.3690311308404642E-3</v>
      </c>
      <c r="D36" s="71">
        <f>IFERROR(D26/$B36,0)</f>
        <v>1.9957795527399315E-6</v>
      </c>
      <c r="E36" s="71">
        <f>IFERROR(E26/$B36,0)</f>
        <v>1.4590998471568945E-3</v>
      </c>
      <c r="F36" s="71">
        <f>IFERROR(F26/$B36,0)</f>
        <v>120.86426225889237</v>
      </c>
      <c r="G36" s="70">
        <f t="shared" si="12"/>
        <v>1.2179298059562564E-3</v>
      </c>
      <c r="H36" s="70">
        <f t="shared" si="13"/>
        <v>1.9952391424476437E-6</v>
      </c>
      <c r="I36" s="71">
        <f t="shared" ref="I36:R36" si="19">IFERROR(I26/$B36,0)</f>
        <v>27.227599577821518</v>
      </c>
      <c r="J36" s="71">
        <f t="shared" si="19"/>
        <v>91.351859149989423</v>
      </c>
      <c r="K36" s="71">
        <f t="shared" si="19"/>
        <v>35.838037051149698</v>
      </c>
      <c r="L36" s="71">
        <f t="shared" si="19"/>
        <v>27.58585746700339</v>
      </c>
      <c r="M36" s="71">
        <f t="shared" si="19"/>
        <v>86.455123218091828</v>
      </c>
      <c r="N36" s="71">
        <f t="shared" si="19"/>
        <v>38.06418420979449</v>
      </c>
      <c r="O36" s="71">
        <f t="shared" si="19"/>
        <v>127.70989909168522</v>
      </c>
      <c r="P36" s="71">
        <f t="shared" si="19"/>
        <v>50.101575797507273</v>
      </c>
      <c r="Q36" s="71">
        <f t="shared" si="19"/>
        <v>38.56502873887073</v>
      </c>
      <c r="R36" s="71">
        <f t="shared" si="19"/>
        <v>120.86426225889237</v>
      </c>
    </row>
    <row r="37" spans="1:18">
      <c r="A37" s="65" t="s">
        <v>395</v>
      </c>
      <c r="B37" s="89">
        <v>1</v>
      </c>
      <c r="C37" s="71">
        <f>IFERROR(C22/$B37,0)</f>
        <v>3.6919141910536059E-2</v>
      </c>
      <c r="D37" s="71">
        <f>IFERROR(D22/$B37,0)</f>
        <v>1.7916927019246711E-5</v>
      </c>
      <c r="E37" s="71">
        <f>IFERROR(E22/$B37,0)</f>
        <v>1.3098934418590433E-2</v>
      </c>
      <c r="F37" s="71">
        <f>IFERROR(F22/$B37,0)</f>
        <v>851.54366591492328</v>
      </c>
      <c r="G37" s="70">
        <f t="shared" si="12"/>
        <v>9.6684231653804079E-3</v>
      </c>
      <c r="H37" s="70">
        <f t="shared" si="13"/>
        <v>1.7908235742924204E-5</v>
      </c>
      <c r="I37" s="71">
        <f t="shared" ref="I37:R37" si="20">IFERROR(I22/$B37,0)</f>
        <v>891.15777821992219</v>
      </c>
      <c r="J37" s="71">
        <f t="shared" si="20"/>
        <v>1228.561445696251</v>
      </c>
      <c r="K37" s="71">
        <f t="shared" si="20"/>
        <v>894.91002149663757</v>
      </c>
      <c r="L37" s="71">
        <f t="shared" si="20"/>
        <v>891.15777821992219</v>
      </c>
      <c r="M37" s="71">
        <f t="shared" si="20"/>
        <v>617.50809711016927</v>
      </c>
      <c r="N37" s="71">
        <f t="shared" si="20"/>
        <v>1228.9065761652726</v>
      </c>
      <c r="O37" s="71">
        <f t="shared" si="20"/>
        <v>1694.1862336151303</v>
      </c>
      <c r="P37" s="71">
        <f t="shared" si="20"/>
        <v>1234.0809196438634</v>
      </c>
      <c r="Q37" s="71">
        <f t="shared" si="20"/>
        <v>1228.9065761652726</v>
      </c>
      <c r="R37" s="71">
        <f t="shared" si="20"/>
        <v>851.54366591492328</v>
      </c>
    </row>
    <row r="38" spans="1:18">
      <c r="A38" s="65" t="s">
        <v>396</v>
      </c>
      <c r="B38" s="89">
        <v>1</v>
      </c>
      <c r="C38" s="71">
        <f>IFERROR(C2/$B38,0)</f>
        <v>9.5262863582626714E-2</v>
      </c>
      <c r="D38" s="71">
        <f>IFERROR(D2/$B38,0)</f>
        <v>1.6414091092795734E-5</v>
      </c>
      <c r="E38" s="71">
        <f>IFERROR(E2/$B38,0)</f>
        <v>1.200022205450387E-2</v>
      </c>
      <c r="F38" s="71">
        <f>IFERROR(F2/$B38,0)</f>
        <v>709.61972159576953</v>
      </c>
      <c r="G38" s="70">
        <f t="shared" si="12"/>
        <v>1.0657518761601032E-2</v>
      </c>
      <c r="H38" s="70">
        <f t="shared" si="13"/>
        <v>1.6411263000944657E-5</v>
      </c>
      <c r="I38" s="71">
        <f t="shared" ref="I38:R38" si="21">IFERROR(I2/$B38,0)</f>
        <v>147.00761054774961</v>
      </c>
      <c r="J38" s="71">
        <f t="shared" si="21"/>
        <v>532.69082951361258</v>
      </c>
      <c r="K38" s="71">
        <f t="shared" si="21"/>
        <v>203.93702835790756</v>
      </c>
      <c r="L38" s="71">
        <f t="shared" si="21"/>
        <v>151.28419558186596</v>
      </c>
      <c r="M38" s="71">
        <f t="shared" si="21"/>
        <v>503.63358523475478</v>
      </c>
      <c r="N38" s="71">
        <f t="shared" si="21"/>
        <v>207.13372326177921</v>
      </c>
      <c r="O38" s="71">
        <f t="shared" si="21"/>
        <v>750.56137878467996</v>
      </c>
      <c r="P38" s="71">
        <f t="shared" si="21"/>
        <v>287.3472729562917</v>
      </c>
      <c r="Q38" s="71">
        <f t="shared" si="21"/>
        <v>213.15943157484912</v>
      </c>
      <c r="R38" s="71">
        <f t="shared" si="21"/>
        <v>709.61972159576953</v>
      </c>
    </row>
    <row r="39" spans="1:18">
      <c r="A39" s="65" t="s">
        <v>397</v>
      </c>
      <c r="B39" s="89">
        <v>1</v>
      </c>
      <c r="C39" s="71">
        <f>IFERROR(C11/$B39,0)</f>
        <v>0</v>
      </c>
      <c r="D39" s="71">
        <f>IFERROR(D11/$B39,0)</f>
        <v>0</v>
      </c>
      <c r="E39" s="71">
        <f>IFERROR(E11/$B39,0)</f>
        <v>0</v>
      </c>
      <c r="F39" s="71">
        <f>IFERROR(F11/$B39,0)</f>
        <v>348.21488197264523</v>
      </c>
      <c r="G39" s="70">
        <f t="shared" si="12"/>
        <v>348.21488197264523</v>
      </c>
      <c r="H39" s="70">
        <f t="shared" si="13"/>
        <v>348.21488197264523</v>
      </c>
      <c r="I39" s="71">
        <f t="shared" ref="I39:R39" si="22">IFERROR(I11/$B39,0)</f>
        <v>64.786735237941215</v>
      </c>
      <c r="J39" s="71">
        <f t="shared" si="22"/>
        <v>270.13416505644494</v>
      </c>
      <c r="K39" s="71">
        <f t="shared" si="22"/>
        <v>96.637954444878858</v>
      </c>
      <c r="L39" s="71">
        <f t="shared" si="22"/>
        <v>67.336650473253798</v>
      </c>
      <c r="M39" s="71">
        <f t="shared" si="22"/>
        <v>274.40101022273075</v>
      </c>
      <c r="N39" s="71">
        <f t="shared" si="22"/>
        <v>82.214367016947435</v>
      </c>
      <c r="O39" s="71">
        <f t="shared" si="22"/>
        <v>342.80025545662869</v>
      </c>
      <c r="P39" s="71">
        <f t="shared" si="22"/>
        <v>122.63356419055128</v>
      </c>
      <c r="Q39" s="71">
        <f t="shared" si="22"/>
        <v>85.450209450559043</v>
      </c>
      <c r="R39" s="71">
        <f t="shared" si="22"/>
        <v>348.21488197264523</v>
      </c>
    </row>
    <row r="40" spans="1:18">
      <c r="A40" s="65" t="s">
        <v>398</v>
      </c>
      <c r="B40" s="89">
        <v>1</v>
      </c>
      <c r="C40" s="71">
        <f>IFERROR(C4/$B40,0)</f>
        <v>0</v>
      </c>
      <c r="D40" s="71">
        <f>IFERROR(D4/$B40,0)</f>
        <v>0</v>
      </c>
      <c r="E40" s="71">
        <f>IFERROR(E4/$B40,0)</f>
        <v>0</v>
      </c>
      <c r="F40" s="71">
        <f>IFERROR(F4/$B40,0)</f>
        <v>41264.230506890563</v>
      </c>
      <c r="G40" s="70">
        <f t="shared" si="12"/>
        <v>41264.230506890563</v>
      </c>
      <c r="H40" s="70">
        <f t="shared" si="13"/>
        <v>41264.230506890563</v>
      </c>
      <c r="I40" s="71">
        <f t="shared" ref="I40:R40" si="23">IFERROR(I4/$B40,0)</f>
        <v>7616.5956813860766</v>
      </c>
      <c r="J40" s="71">
        <f t="shared" si="23"/>
        <v>33587.07123388999</v>
      </c>
      <c r="K40" s="71">
        <f t="shared" si="23"/>
        <v>12031.189695721787</v>
      </c>
      <c r="L40" s="71">
        <f t="shared" si="23"/>
        <v>8142.3202991248472</v>
      </c>
      <c r="M40" s="71">
        <f t="shared" si="23"/>
        <v>34046.394807665478</v>
      </c>
      <c r="N40" s="71">
        <f t="shared" si="23"/>
        <v>9231.3139658399214</v>
      </c>
      <c r="O40" s="71">
        <f t="shared" si="23"/>
        <v>40707.530335474665</v>
      </c>
      <c r="P40" s="71">
        <f t="shared" si="23"/>
        <v>14581.801911214801</v>
      </c>
      <c r="Q40" s="71">
        <f t="shared" si="23"/>
        <v>9868.4922025393116</v>
      </c>
      <c r="R40" s="71">
        <f t="shared" si="23"/>
        <v>41264.230506890563</v>
      </c>
    </row>
    <row r="41" spans="1:18">
      <c r="A41" s="65" t="s">
        <v>399</v>
      </c>
      <c r="B41" s="90">
        <v>0.99987999999999999</v>
      </c>
      <c r="C41" s="71">
        <f>IFERROR(C8/$B41,0)</f>
        <v>18.573675983993795</v>
      </c>
      <c r="D41" s="71">
        <f>IFERROR(D8/$B41,0)</f>
        <v>4.2450546525263271E-3</v>
      </c>
      <c r="E41" s="71">
        <f>IFERROR(E8/$B41,0)</f>
        <v>3.1035284363798459</v>
      </c>
      <c r="F41" s="71">
        <f>IFERROR(F8/$B41,0)</f>
        <v>57.122588400023595</v>
      </c>
      <c r="G41" s="70">
        <f t="shared" si="12"/>
        <v>2.5409102586613228</v>
      </c>
      <c r="H41" s="70">
        <f t="shared" si="13"/>
        <v>4.2437693547318425E-3</v>
      </c>
      <c r="I41" s="71">
        <f t="shared" ref="I41:R41" si="24">IFERROR(I8/$B41,0)</f>
        <v>13.133508098081053</v>
      </c>
      <c r="J41" s="71">
        <f t="shared" si="24"/>
        <v>60.794100378538708</v>
      </c>
      <c r="K41" s="71">
        <f t="shared" si="24"/>
        <v>21.770860270692918</v>
      </c>
      <c r="L41" s="71">
        <f t="shared" si="24"/>
        <v>14.34163495576804</v>
      </c>
      <c r="M41" s="71">
        <f t="shared" si="24"/>
        <v>47.09199373456191</v>
      </c>
      <c r="N41" s="71">
        <f t="shared" si="24"/>
        <v>15.930945322972319</v>
      </c>
      <c r="O41" s="71">
        <f t="shared" si="24"/>
        <v>73.74324375916747</v>
      </c>
      <c r="P41" s="71">
        <f t="shared" si="24"/>
        <v>26.408053508350513</v>
      </c>
      <c r="Q41" s="71">
        <f t="shared" si="24"/>
        <v>17.396403201346633</v>
      </c>
      <c r="R41" s="71">
        <f t="shared" si="24"/>
        <v>57.122588400023595</v>
      </c>
    </row>
    <row r="42" spans="1:18">
      <c r="A42" s="65" t="s">
        <v>400</v>
      </c>
      <c r="B42" s="89">
        <v>0.97898250799999997</v>
      </c>
      <c r="C42" s="71">
        <f>IFERROR(C19/$B42,0)</f>
        <v>0</v>
      </c>
      <c r="D42" s="71">
        <f>IFERROR(D19/$B42,0)</f>
        <v>0</v>
      </c>
      <c r="E42" s="71">
        <f>IFERROR(E19/$B42,0)</f>
        <v>0</v>
      </c>
      <c r="F42" s="71">
        <f>IFERROR(F19/$B42,0)</f>
        <v>268013.37012479216</v>
      </c>
      <c r="G42" s="70">
        <f t="shared" si="12"/>
        <v>268013.37012479216</v>
      </c>
      <c r="H42" s="70">
        <f t="shared" si="13"/>
        <v>268013.37012479216</v>
      </c>
      <c r="I42" s="71">
        <f t="shared" ref="I42:R42" si="25">IFERROR(I19/$B42,0)</f>
        <v>0</v>
      </c>
      <c r="J42" s="71">
        <f t="shared" si="25"/>
        <v>0</v>
      </c>
      <c r="K42" s="71">
        <f t="shared" si="25"/>
        <v>0</v>
      </c>
      <c r="L42" s="71">
        <f t="shared" si="25"/>
        <v>0</v>
      </c>
      <c r="M42" s="71">
        <f t="shared" si="25"/>
        <v>0</v>
      </c>
      <c r="N42" s="71">
        <f t="shared" si="25"/>
        <v>51618.374711239157</v>
      </c>
      <c r="O42" s="71">
        <f t="shared" si="25"/>
        <v>264943.87019928062</v>
      </c>
      <c r="P42" s="71">
        <f t="shared" si="25"/>
        <v>92546.081398821334</v>
      </c>
      <c r="Q42" s="71">
        <f t="shared" si="25"/>
        <v>58703.249671605321</v>
      </c>
      <c r="R42" s="71">
        <f t="shared" si="25"/>
        <v>268013.37012479216</v>
      </c>
    </row>
    <row r="43" spans="1:18">
      <c r="A43" s="65" t="s">
        <v>401</v>
      </c>
      <c r="B43" s="89">
        <v>2.0897492E-2</v>
      </c>
      <c r="C43" s="71">
        <f>IFERROR(C28/$B43,0)</f>
        <v>0</v>
      </c>
      <c r="D43" s="71">
        <f>IFERROR(D28/$B43,0)</f>
        <v>0</v>
      </c>
      <c r="E43" s="71">
        <f>IFERROR(E28/$B43,0)</f>
        <v>0</v>
      </c>
      <c r="F43" s="71">
        <f>IFERROR(F28/$B43,0)</f>
        <v>221.89834898867474</v>
      </c>
      <c r="G43" s="70">
        <f t="shared" si="12"/>
        <v>221.89834898867474</v>
      </c>
      <c r="H43" s="70">
        <f t="shared" si="13"/>
        <v>221.89834898867474</v>
      </c>
      <c r="I43" s="71">
        <f t="shared" ref="I43:R43" si="26">IFERROR(I28/$B43,0)</f>
        <v>35.066436780557417</v>
      </c>
      <c r="J43" s="71">
        <f t="shared" si="26"/>
        <v>191.75218207780998</v>
      </c>
      <c r="K43" s="71">
        <f t="shared" si="26"/>
        <v>66.742472214928341</v>
      </c>
      <c r="L43" s="71">
        <f t="shared" si="26"/>
        <v>41.728454130922373</v>
      </c>
      <c r="M43" s="71">
        <f t="shared" si="26"/>
        <v>191.12691558025384</v>
      </c>
      <c r="N43" s="71">
        <f t="shared" si="26"/>
        <v>40.712133102227156</v>
      </c>
      <c r="O43" s="71">
        <f t="shared" si="26"/>
        <v>222.62428339233742</v>
      </c>
      <c r="P43" s="71">
        <f t="shared" si="26"/>
        <v>77.488010241531811</v>
      </c>
      <c r="Q43" s="71">
        <f t="shared" si="26"/>
        <v>48.446735246000877</v>
      </c>
      <c r="R43" s="71">
        <f t="shared" si="26"/>
        <v>221.89834898867474</v>
      </c>
    </row>
    <row r="44" spans="1:18">
      <c r="A44" s="65" t="s">
        <v>402</v>
      </c>
      <c r="B44" s="89">
        <v>0.99987999999999999</v>
      </c>
      <c r="C44" s="71">
        <f>IFERROR(C15/$B44,0)</f>
        <v>64.860455817121178</v>
      </c>
      <c r="D44" s="71">
        <f>IFERROR(D15/$B44,0)</f>
        <v>2.159017767402359</v>
      </c>
      <c r="E44" s="71">
        <f>IFERROR(E15/$B44,0)</f>
        <v>1578.4421130585176</v>
      </c>
      <c r="F44" s="71">
        <f>IFERROR(F15/$B44,0)</f>
        <v>3263.0109709522353</v>
      </c>
      <c r="G44" s="70">
        <f t="shared" si="12"/>
        <v>61.133228644514666</v>
      </c>
      <c r="H44" s="70">
        <f t="shared" si="13"/>
        <v>2.0881283488405602</v>
      </c>
      <c r="I44" s="71">
        <f t="shared" ref="I44:R44" si="27">IFERROR(I15/$B44,0)</f>
        <v>11600.769109774405</v>
      </c>
      <c r="J44" s="71">
        <f t="shared" si="27"/>
        <v>29589.303488854977</v>
      </c>
      <c r="K44" s="71">
        <f t="shared" si="27"/>
        <v>14655.517088523779</v>
      </c>
      <c r="L44" s="71">
        <f t="shared" si="27"/>
        <v>11776.095595060668</v>
      </c>
      <c r="M44" s="71">
        <f t="shared" si="27"/>
        <v>2341.8739025972986</v>
      </c>
      <c r="N44" s="71">
        <f t="shared" si="27"/>
        <v>16163.738292952341</v>
      </c>
      <c r="O44" s="71">
        <f t="shared" si="27"/>
        <v>41227.762861137926</v>
      </c>
      <c r="P44" s="71">
        <f t="shared" si="27"/>
        <v>20420.020476676465</v>
      </c>
      <c r="Q44" s="71">
        <f t="shared" si="27"/>
        <v>16408.026529117866</v>
      </c>
      <c r="R44" s="71">
        <f t="shared" si="27"/>
        <v>3263.0109709522353</v>
      </c>
    </row>
    <row r="45" spans="1:18">
      <c r="A45" s="63" t="s">
        <v>15</v>
      </c>
      <c r="B45" s="82" t="s">
        <v>6</v>
      </c>
      <c r="C45" s="67">
        <f>IFERROR(1/SUM(1/C46),0)</f>
        <v>0.27037842163892584</v>
      </c>
      <c r="D45" s="67">
        <f t="shared" ref="D45:E45" si="28">IFERROR(1/SUM(1/D46),0)</f>
        <v>3.613461780140644E-3</v>
      </c>
      <c r="E45" s="67">
        <f t="shared" si="28"/>
        <v>2.6417755026461762</v>
      </c>
      <c r="F45" s="67">
        <f>IFERROR(1/SUM(1/F46,1/F47),0)</f>
        <v>17.098888655815802</v>
      </c>
      <c r="G45" s="68">
        <f>IFERROR(1/SUM(1/G46,1/G47),0)</f>
        <v>0.24180658730139173</v>
      </c>
      <c r="H45" s="68">
        <f t="shared" ref="H45:R45" si="29">IFERROR(1/SUM(1/H46,1/H47),0)</f>
        <v>3.5650632375922343E-3</v>
      </c>
      <c r="I45" s="67">
        <f t="shared" si="29"/>
        <v>2.8821712764736818</v>
      </c>
      <c r="J45" s="67">
        <f t="shared" si="29"/>
        <v>14.485415309147054</v>
      </c>
      <c r="K45" s="67">
        <f t="shared" si="29"/>
        <v>5.0641807318875642</v>
      </c>
      <c r="L45" s="67">
        <f t="shared" si="29"/>
        <v>3.2401075451424424</v>
      </c>
      <c r="M45" s="67">
        <f t="shared" si="29"/>
        <v>14.364399988480052</v>
      </c>
      <c r="N45" s="67">
        <f t="shared" si="29"/>
        <v>3.4298340056952936</v>
      </c>
      <c r="O45" s="67">
        <f t="shared" si="29"/>
        <v>17.238230362552109</v>
      </c>
      <c r="P45" s="67">
        <f t="shared" si="29"/>
        <v>6.026500024425542</v>
      </c>
      <c r="Q45" s="67">
        <f t="shared" si="29"/>
        <v>3.8557903136902869</v>
      </c>
      <c r="R45" s="67">
        <f t="shared" si="29"/>
        <v>17.098888655815802</v>
      </c>
    </row>
    <row r="46" spans="1:18">
      <c r="A46" s="65" t="s">
        <v>403</v>
      </c>
      <c r="B46" s="89">
        <v>1</v>
      </c>
      <c r="C46" s="71">
        <f>IFERROR(C10/$B46,0)</f>
        <v>0.27037842163892584</v>
      </c>
      <c r="D46" s="71">
        <f>IFERROR(D10/$B46,0)</f>
        <v>3.613461780140644E-3</v>
      </c>
      <c r="E46" s="71">
        <f>IFERROR(E10/$B46,0)</f>
        <v>2.6417755026461762</v>
      </c>
      <c r="F46" s="71">
        <f>IFERROR(F10/$B46,0)</f>
        <v>2992.645471266504</v>
      </c>
      <c r="G46" s="70">
        <f>(IF(AND(C46&lt;&gt;0,E46&lt;&gt;0,F46&lt;&gt;0),1/((1/C46)+(1/E46)+(1/F46)),IF(AND(C46&lt;&gt;0,E46&lt;&gt;0,F46=0), 1/((1/C46)+(1/E46)),IF(AND(C46&lt;&gt;0,E46=0,F46&lt;&gt;0),1/((1/C46)+(1/F46)),IF(AND(C46=0,E46&lt;&gt;0,F46&lt;&gt;0),1/((1/E46)+(1/F46)),IF(AND(C46&lt;&gt;0,E46=0,F46=0),1/(1/C46),IF(AND(C46=0,E46&lt;&gt;0,F46=0),1/(1/E46),IF(AND(C46=0,E46=0,F46&lt;&gt;0),1/(1/F46),IF(AND(C46=0,E46=0,F46=0),0)))))))))</f>
        <v>0.24525508344312394</v>
      </c>
      <c r="H46" s="70">
        <f>(IF(AND(C46&lt;&gt;0,D46&lt;&gt;0,F46&lt;&gt;0),1/((1/C46)+(1/D46)+(1/F46)),IF(AND(C46&lt;&gt;0,D46&lt;&gt;0,F46=0), 1/((1/C46)+(1/D46)),IF(AND(C46&lt;&gt;0,D46=0,F46&lt;&gt;0),1/((1/C46)+(1/F46)),IF(AND(C46=0,D46&lt;&gt;0,F46&lt;&gt;0),1/((1/D46)+(1/F46)),IF(AND(C46&lt;&gt;0,D46=0,F46=0),1/(1/C46),IF(AND(C46=0,D46&lt;&gt;0,F46=0),1/(1/D46),IF(AND(C46=0,D46=0,F46&lt;&gt;0),1/(1/F46),IF(AND(C46=0,D46=0,F46=0),0)))))))))</f>
        <v>3.565802448072405E-3</v>
      </c>
      <c r="I46" s="71">
        <f t="shared" ref="I46:R46" si="30">IFERROR(I10/$B46,0)</f>
        <v>10052.793415150401</v>
      </c>
      <c r="J46" s="71">
        <f t="shared" si="30"/>
        <v>21742.088083929943</v>
      </c>
      <c r="K46" s="71">
        <f t="shared" si="30"/>
        <v>12465.4638347865</v>
      </c>
      <c r="L46" s="71">
        <f t="shared" si="30"/>
        <v>10228.77229331496</v>
      </c>
      <c r="M46" s="71">
        <f t="shared" si="30"/>
        <v>2386.4796421582969</v>
      </c>
      <c r="N46" s="71">
        <f t="shared" si="30"/>
        <v>12606.202942598607</v>
      </c>
      <c r="O46" s="71">
        <f t="shared" si="30"/>
        <v>27264.578457248146</v>
      </c>
      <c r="P46" s="71">
        <f t="shared" si="30"/>
        <v>15631.691648822271</v>
      </c>
      <c r="Q46" s="71">
        <f t="shared" si="30"/>
        <v>12826.88045581696</v>
      </c>
      <c r="R46" s="71">
        <f t="shared" si="30"/>
        <v>2992.645471266504</v>
      </c>
    </row>
    <row r="47" spans="1:18">
      <c r="A47" s="65" t="s">
        <v>404</v>
      </c>
      <c r="B47" s="89">
        <v>0.94399</v>
      </c>
      <c r="C47" s="71">
        <f>IFERROR(C6/$B47,0)</f>
        <v>0</v>
      </c>
      <c r="D47" s="71">
        <f>IFERROR(D6/$B47,0)</f>
        <v>0</v>
      </c>
      <c r="E47" s="71">
        <f>IFERROR(E6/$B47,0)</f>
        <v>0</v>
      </c>
      <c r="F47" s="71">
        <f>IFERROR(F6/$B47,0)</f>
        <v>17.19714690355174</v>
      </c>
      <c r="G47" s="70">
        <f>(IF(AND(C47&lt;&gt;0,E47&lt;&gt;0,F47&lt;&gt;0),1/((1/C47)+(1/E47)+(1/F47)),IF(AND(C47&lt;&gt;0,E47&lt;&gt;0,F47=0), 1/((1/C47)+(1/E47)),IF(AND(C47&lt;&gt;0,E47=0,F47&lt;&gt;0),1/((1/C47)+(1/F47)),IF(AND(C47=0,E47&lt;&gt;0,F47&lt;&gt;0),1/((1/E47)+(1/F47)),IF(AND(C47&lt;&gt;0,E47=0,F47=0),1/(1/C47),IF(AND(C47=0,E47&lt;&gt;0,F47=0),1/(1/E47),IF(AND(C47=0,E47=0,F47&lt;&gt;0),1/(1/F47),IF(AND(C47=0,E47=0,F47=0),0)))))))))</f>
        <v>17.19714690355174</v>
      </c>
      <c r="H47" s="70">
        <f>(IF(AND(C47&lt;&gt;0,D47&lt;&gt;0,F47&lt;&gt;0),1/((1/C47)+(1/D47)+(1/F47)),IF(AND(C47&lt;&gt;0,D47&lt;&gt;0,F47=0), 1/((1/C47)+(1/D47)),IF(AND(C47&lt;&gt;0,D47=0,F47&lt;&gt;0),1/((1/C47)+(1/F47)),IF(AND(C47=0,D47&lt;&gt;0,F47&lt;&gt;0),1/((1/D47)+(1/F47)),IF(AND(C47&lt;&gt;0,D47=0,F47=0),1/(1/C47),IF(AND(C47=0,D47&lt;&gt;0,F47=0),1/(1/D47),IF(AND(C47=0,D47=0,F47&lt;&gt;0),1/(1/F47),IF(AND(C47=0,D47=0,F47=0),0)))))))))</f>
        <v>17.19714690355174</v>
      </c>
      <c r="I47" s="71">
        <f t="shared" ref="I47:R47" si="31">IFERROR(I6/$B47,0)</f>
        <v>2.8829978421084772</v>
      </c>
      <c r="J47" s="71">
        <f t="shared" si="31"/>
        <v>14.495072483934289</v>
      </c>
      <c r="K47" s="71">
        <f t="shared" si="31"/>
        <v>5.066238926423634</v>
      </c>
      <c r="L47" s="71">
        <f t="shared" si="31"/>
        <v>3.2411342200101521</v>
      </c>
      <c r="M47" s="71">
        <f t="shared" si="31"/>
        <v>14.451383952564489</v>
      </c>
      <c r="N47" s="71">
        <f t="shared" si="31"/>
        <v>3.430767432109088</v>
      </c>
      <c r="O47" s="71">
        <f t="shared" si="31"/>
        <v>17.249136255881808</v>
      </c>
      <c r="P47" s="71">
        <f t="shared" si="31"/>
        <v>6.0288243224441249</v>
      </c>
      <c r="Q47" s="71">
        <f t="shared" si="31"/>
        <v>3.856949721812081</v>
      </c>
      <c r="R47" s="71">
        <f t="shared" si="31"/>
        <v>17.19714690355174</v>
      </c>
    </row>
    <row r="48" spans="1:18">
      <c r="A48" s="63" t="s">
        <v>28</v>
      </c>
      <c r="B48" s="82" t="s">
        <v>6</v>
      </c>
      <c r="C48" s="67">
        <f>IFERROR(1/SUM(1/C49,1/C52,1/C54,1/C58,1/C59,1/C61),0)</f>
        <v>1.6809344201405222E-3</v>
      </c>
      <c r="D48" s="67">
        <f>IFERROR(1/SUM(1/D49,1/D50,1/D51,1/D52,1/D54,1/D58,1/D59,1/D61),0)</f>
        <v>7.1135456871816555E-6</v>
      </c>
      <c r="E48" s="67">
        <f>IFERROR(1/SUM(1/E49,1/E50,1/E51,1/E52,1/E54,1/E58,1/E59,1/E61),0)</f>
        <v>5.2006612707605334E-3</v>
      </c>
      <c r="F48" s="67">
        <f>IFERROR(1/SUM(1/F49,1/F50,1/F51,1/F52,1/F53,1/F54,1/F55,1/F56,1/F57,1/F58,1/F59,1/F60,1/F61,1/F62),0)</f>
        <v>5.4844517456163322</v>
      </c>
      <c r="G48" s="68">
        <f t="shared" ref="G48:H48" si="32">IFERROR(1/SUM(1/G49,1/G50,1/G51,1/G52,1/G53,1/G54,1/G55,1/G56,1/G57,1/G58,1/G59,1/G60,1/G61,1/G62),0)</f>
        <v>1.2700464445910308E-3</v>
      </c>
      <c r="H48" s="68">
        <f t="shared" si="32"/>
        <v>7.083559586605161E-6</v>
      </c>
      <c r="I48" s="67">
        <f>IFERROR(1/SUM(1/I49,1/I50,1/I51,1/I52,1/I53,1/I54,1/I55,1/I56,1/I58,1/I59,1/I61,1/I62),0)</f>
        <v>0.89951595761002323</v>
      </c>
      <c r="J48" s="67">
        <f t="shared" ref="J48:M48" si="33">IFERROR(1/SUM(1/J49,1/J50,1/J51,1/J52,1/J53,1/J54,1/J55,1/J56,1/J58,1/J59,1/J61,1/J62),0)</f>
        <v>4.8714108702469803</v>
      </c>
      <c r="K48" s="67">
        <f t="shared" si="33"/>
        <v>1.6945746039124518</v>
      </c>
      <c r="L48" s="67">
        <f t="shared" si="33"/>
        <v>1.0608774429799812</v>
      </c>
      <c r="M48" s="67">
        <f t="shared" si="33"/>
        <v>4.6840701109570633</v>
      </c>
      <c r="N48" s="67">
        <f t="shared" ref="N48:R48" si="34">IFERROR(1/SUM(1/N49,1/N50,1/N51,1/N52,1/N53,1/N54,1/N55,1/N56,1/N57,1/N58,1/N59,1/N60,1/N61,1/N62),0)</f>
        <v>1.0491580090918846</v>
      </c>
      <c r="O48" s="67">
        <f t="shared" si="34"/>
        <v>5.6953628531472686</v>
      </c>
      <c r="P48" s="67">
        <f t="shared" si="34"/>
        <v>1.9803885626664481</v>
      </c>
      <c r="Q48" s="67">
        <f t="shared" si="34"/>
        <v>1.2386847952313871</v>
      </c>
      <c r="R48" s="67">
        <f t="shared" si="34"/>
        <v>5.4844517456163322</v>
      </c>
    </row>
    <row r="49" spans="1:18">
      <c r="A49" s="65" t="s">
        <v>405</v>
      </c>
      <c r="B49" s="89">
        <v>1</v>
      </c>
      <c r="C49" s="71">
        <f>IFERROR(C23/$B49,0)</f>
        <v>1.3132666193890684E-2</v>
      </c>
      <c r="D49" s="71">
        <f>IFERROR(D23/$B49,0)</f>
        <v>1.4629257886588818E-5</v>
      </c>
      <c r="E49" s="71">
        <f>IFERROR(E23/$B49,0)</f>
        <v>1.0695343539839374E-2</v>
      </c>
      <c r="F49" s="71">
        <f>IFERROR(F23/$B49,0)</f>
        <v>1402.242563632359</v>
      </c>
      <c r="G49" s="70">
        <f t="shared" ref="G49:G62" si="35">(IF(AND(C49&lt;&gt;0,E49&lt;&gt;0,F49&lt;&gt;0),1/((1/C49)+(1/E49)+(1/F49)),IF(AND(C49&lt;&gt;0,E49&lt;&gt;0,F49=0), 1/((1/C49)+(1/E49)),IF(AND(C49&lt;&gt;0,E49=0,F49&lt;&gt;0),1/((1/C49)+(1/F49)),IF(AND(C49=0,E49&lt;&gt;0,F49&lt;&gt;0),1/((1/E49)+(1/F49)),IF(AND(C49&lt;&gt;0,E49=0,F49=0),1/(1/C49),IF(AND(C49=0,E49&lt;&gt;0,F49=0),1/(1/E49),IF(AND(C49=0,E49=0,F49&lt;&gt;0),1/(1/F49),IF(AND(C49=0,E49=0,F49=0),0)))))))))</f>
        <v>5.8946503572077542E-3</v>
      </c>
      <c r="H49" s="70">
        <f t="shared" ref="H49:H62" si="36">(IF(AND(C49&lt;&gt;0,D49&lt;&gt;0,F49&lt;&gt;0),1/((1/C49)+(1/D49)+(1/F49)),IF(AND(C49&lt;&gt;0,D49&lt;&gt;0,F49=0), 1/((1/C49)+(1/D49)),IF(AND(C49&lt;&gt;0,D49=0,F49&lt;&gt;0),1/((1/C49)+(1/F49)),IF(AND(C49=0,D49&lt;&gt;0,F49&lt;&gt;0),1/((1/D49)+(1/F49)),IF(AND(C49&lt;&gt;0,D49=0,F49=0),1/(1/C49),IF(AND(C49=0,D49&lt;&gt;0,F49=0),1/(1/D49),IF(AND(C49=0,D49=0,F49&lt;&gt;0),1/(1/F49),IF(AND(C49=0,D49=0,F49=0),0)))))))))</f>
        <v>1.4612979467257583E-5</v>
      </c>
      <c r="I49" s="71">
        <f t="shared" ref="I49:R49" si="37">IFERROR(I23/$B49,0)</f>
        <v>266.88601203370746</v>
      </c>
      <c r="J49" s="71">
        <f t="shared" si="37"/>
        <v>1070.0618407011855</v>
      </c>
      <c r="K49" s="71">
        <f t="shared" si="37"/>
        <v>387.78309440795101</v>
      </c>
      <c r="L49" s="71">
        <f t="shared" si="37"/>
        <v>273.31700027548357</v>
      </c>
      <c r="M49" s="71">
        <f t="shared" si="37"/>
        <v>1085.3270616349525</v>
      </c>
      <c r="N49" s="71">
        <f t="shared" si="37"/>
        <v>344.8167275475501</v>
      </c>
      <c r="O49" s="71">
        <f t="shared" si="37"/>
        <v>1382.5198981859319</v>
      </c>
      <c r="P49" s="71">
        <f t="shared" si="37"/>
        <v>501.0157579750728</v>
      </c>
      <c r="Q49" s="71">
        <f t="shared" si="37"/>
        <v>353.12556435592478</v>
      </c>
      <c r="R49" s="71">
        <f t="shared" si="37"/>
        <v>1402.242563632359</v>
      </c>
    </row>
    <row r="50" spans="1:18">
      <c r="A50" s="65" t="s">
        <v>406</v>
      </c>
      <c r="B50" s="89">
        <v>1</v>
      </c>
      <c r="C50" s="71">
        <f>IFERROR(C25/$B50,0)</f>
        <v>0</v>
      </c>
      <c r="D50" s="71">
        <f>IFERROR(D25/$B50,0)</f>
        <v>8.5117712680595412E-2</v>
      </c>
      <c r="E50" s="71">
        <f>IFERROR(E25/$B50,0)</f>
        <v>62.228937756225733</v>
      </c>
      <c r="F50" s="71">
        <f>IFERROR(F25/$B50,0)</f>
        <v>25180.054637269241</v>
      </c>
      <c r="G50" s="70">
        <f t="shared" si="35"/>
        <v>62.075526885820189</v>
      </c>
      <c r="H50" s="70">
        <f t="shared" si="36"/>
        <v>8.5117424952843204E-2</v>
      </c>
      <c r="I50" s="71">
        <f t="shared" ref="I50:R50" si="38">IFERROR(I25/$B50,0)</f>
        <v>4281.4353304324977</v>
      </c>
      <c r="J50" s="71">
        <f t="shared" si="38"/>
        <v>20681.509647004441</v>
      </c>
      <c r="K50" s="71">
        <f t="shared" si="38"/>
        <v>7252.3570233180508</v>
      </c>
      <c r="L50" s="71">
        <f t="shared" si="38"/>
        <v>4693.1118045125459</v>
      </c>
      <c r="M50" s="71">
        <f t="shared" si="38"/>
        <v>20965.907274995203</v>
      </c>
      <c r="N50" s="71">
        <f t="shared" si="38"/>
        <v>5142.0038318494308</v>
      </c>
      <c r="O50" s="71">
        <f t="shared" si="38"/>
        <v>24838.493086052338</v>
      </c>
      <c r="P50" s="71">
        <f t="shared" si="38"/>
        <v>8710.0807850049787</v>
      </c>
      <c r="Q50" s="71">
        <f t="shared" si="38"/>
        <v>5636.42727721957</v>
      </c>
      <c r="R50" s="71">
        <f t="shared" si="38"/>
        <v>25180.054637269241</v>
      </c>
    </row>
    <row r="51" spans="1:18">
      <c r="A51" s="65" t="s">
        <v>407</v>
      </c>
      <c r="B51" s="89">
        <v>1</v>
      </c>
      <c r="C51" s="71">
        <f>IFERROR(C21/$B51,0)</f>
        <v>0</v>
      </c>
      <c r="D51" s="71">
        <f>IFERROR(D21/$B51,0)</f>
        <v>7.3165487934107598E-2</v>
      </c>
      <c r="E51" s="71">
        <f>IFERROR(E21/$B51,0)</f>
        <v>53.490753583107427</v>
      </c>
      <c r="F51" s="71">
        <f>IFERROR(F21/$B51,0)</f>
        <v>1565076077.7049551</v>
      </c>
      <c r="G51" s="70">
        <f t="shared" si="35"/>
        <v>53.490751754914747</v>
      </c>
      <c r="H51" s="70">
        <f t="shared" si="36"/>
        <v>7.3165487930687195E-2</v>
      </c>
      <c r="I51" s="71">
        <f t="shared" ref="I51:R51" si="39">IFERROR(I21/$B51,0)</f>
        <v>1008170151.9866868</v>
      </c>
      <c r="J51" s="71">
        <f t="shared" si="39"/>
        <v>2146707133.971652</v>
      </c>
      <c r="K51" s="71">
        <f t="shared" si="39"/>
        <v>1147548514.012496</v>
      </c>
      <c r="L51" s="71">
        <f t="shared" si="39"/>
        <v>1008170151.9866868</v>
      </c>
      <c r="M51" s="71">
        <f t="shared" si="39"/>
        <v>1196744664.3453352</v>
      </c>
      <c r="N51" s="71">
        <f t="shared" si="39"/>
        <v>1318462520.9870334</v>
      </c>
      <c r="O51" s="71">
        <f t="shared" si="39"/>
        <v>2807415885.2051497</v>
      </c>
      <c r="P51" s="71">
        <f t="shared" si="39"/>
        <v>1500738445.5474529</v>
      </c>
      <c r="Q51" s="71">
        <f t="shared" si="39"/>
        <v>1318462520.9870334</v>
      </c>
      <c r="R51" s="71">
        <f t="shared" si="39"/>
        <v>1565076077.7049551</v>
      </c>
    </row>
    <row r="52" spans="1:18">
      <c r="A52" s="65" t="s">
        <v>408</v>
      </c>
      <c r="B52" s="89">
        <v>0.99980000000000002</v>
      </c>
      <c r="C52" s="71">
        <f>IFERROR(C17/$B52,0)</f>
        <v>26.459583530298808</v>
      </c>
      <c r="D52" s="71">
        <f>IFERROR(D17/$B52,0)</f>
        <v>1.1966363617313586E-2</v>
      </c>
      <c r="E52" s="71">
        <f>IFERROR(E17/$B52,0)</f>
        <v>8.7485209982614212</v>
      </c>
      <c r="F52" s="71">
        <f>IFERROR(F17/$B52,0)</f>
        <v>38.554955127091908</v>
      </c>
      <c r="G52" s="70">
        <f t="shared" si="35"/>
        <v>5.6168564206612386</v>
      </c>
      <c r="H52" s="70">
        <f t="shared" si="36"/>
        <v>1.195724475636187E-2</v>
      </c>
      <c r="I52" s="71">
        <f t="shared" ref="I52:R52" si="40">IFERROR(I17/$B52,0)</f>
        <v>6.9806275237459188</v>
      </c>
      <c r="J52" s="71">
        <f t="shared" si="40"/>
        <v>31.319748823206677</v>
      </c>
      <c r="K52" s="71">
        <f t="shared" si="40"/>
        <v>11.106293908938543</v>
      </c>
      <c r="L52" s="71">
        <f t="shared" si="40"/>
        <v>7.4689385110985747</v>
      </c>
      <c r="M52" s="71">
        <f t="shared" si="40"/>
        <v>30.893393531323639</v>
      </c>
      <c r="N52" s="71">
        <f t="shared" si="40"/>
        <v>8.7118231496349061</v>
      </c>
      <c r="O52" s="71">
        <f t="shared" si="40"/>
        <v>39.087046531361935</v>
      </c>
      <c r="P52" s="71">
        <f t="shared" si="40"/>
        <v>13.860654798355299</v>
      </c>
      <c r="Q52" s="71">
        <f t="shared" si="40"/>
        <v>9.3212352618510224</v>
      </c>
      <c r="R52" s="71">
        <f t="shared" si="40"/>
        <v>38.554955127091908</v>
      </c>
    </row>
    <row r="53" spans="1:18">
      <c r="A53" s="65" t="s">
        <v>409</v>
      </c>
      <c r="B53" s="89">
        <v>2.0000000000000001E-4</v>
      </c>
      <c r="C53" s="71">
        <f>IFERROR(C5/$B53,0)</f>
        <v>0</v>
      </c>
      <c r="D53" s="71">
        <f>IFERROR(D5/$B53,0)</f>
        <v>0</v>
      </c>
      <c r="E53" s="71">
        <f>IFERROR(E5/$B53,0)</f>
        <v>0</v>
      </c>
      <c r="F53" s="71">
        <f>IFERROR(F5/$B53,0)</f>
        <v>416310236.66951805</v>
      </c>
      <c r="G53" s="70">
        <f t="shared" si="35"/>
        <v>416310236.66951805</v>
      </c>
      <c r="H53" s="70">
        <f t="shared" si="36"/>
        <v>416310236.66951805</v>
      </c>
      <c r="I53" s="71">
        <f t="shared" ref="I53:R53" si="41">IFERROR(I5/$B53,0)</f>
        <v>657884712.83566594</v>
      </c>
      <c r="J53" s="71">
        <f t="shared" si="41"/>
        <v>1160057067.6037185</v>
      </c>
      <c r="K53" s="71">
        <f t="shared" si="41"/>
        <v>827213689.55708194</v>
      </c>
      <c r="L53" s="71">
        <f t="shared" si="41"/>
        <v>685488267.22037935</v>
      </c>
      <c r="M53" s="71">
        <f t="shared" si="41"/>
        <v>250621547.15890723</v>
      </c>
      <c r="N53" s="71">
        <f t="shared" si="41"/>
        <v>1092819606.3214672</v>
      </c>
      <c r="O53" s="71">
        <f t="shared" si="41"/>
        <v>1926983684.5195103</v>
      </c>
      <c r="P53" s="71">
        <f t="shared" si="41"/>
        <v>1374093850.9864862</v>
      </c>
      <c r="Q53" s="71">
        <f t="shared" si="41"/>
        <v>1138672177.2160742</v>
      </c>
      <c r="R53" s="71">
        <f t="shared" si="41"/>
        <v>416310236.66951805</v>
      </c>
    </row>
    <row r="54" spans="1:18">
      <c r="A54" s="65" t="s">
        <v>410</v>
      </c>
      <c r="B54" s="89">
        <v>0.99999979999999999</v>
      </c>
      <c r="C54" s="71">
        <f>IFERROR(C9/$B54,0)</f>
        <v>32.831672051061119</v>
      </c>
      <c r="D54" s="71">
        <f>IFERROR(D9/$B54,0)</f>
        <v>1.5232817747599067E-2</v>
      </c>
      <c r="E54" s="71">
        <f>IFERROR(E9/$B54,0)</f>
        <v>11.13660174380337</v>
      </c>
      <c r="F54" s="71">
        <f>IFERROR(F9/$B54,0)</f>
        <v>6.5964663369440819</v>
      </c>
      <c r="G54" s="70">
        <f t="shared" si="35"/>
        <v>3.6785166401019476</v>
      </c>
      <c r="H54" s="70">
        <f t="shared" si="36"/>
        <v>1.5190690829199376E-2</v>
      </c>
      <c r="I54" s="71">
        <f t="shared" ref="I54:R54" si="42">IFERROR(I9/$B54,0)</f>
        <v>1.037878440971584</v>
      </c>
      <c r="J54" s="71">
        <f t="shared" si="42"/>
        <v>5.8202128169163396</v>
      </c>
      <c r="K54" s="71">
        <f t="shared" si="42"/>
        <v>2.0139784033139074</v>
      </c>
      <c r="L54" s="71">
        <f t="shared" si="42"/>
        <v>1.2439278373409428</v>
      </c>
      <c r="M54" s="71">
        <f t="shared" si="42"/>
        <v>5.7112262657524528</v>
      </c>
      <c r="N54" s="71">
        <f t="shared" si="42"/>
        <v>1.1987495993221799</v>
      </c>
      <c r="O54" s="71">
        <f t="shared" si="42"/>
        <v>6.7223458035383716</v>
      </c>
      <c r="P54" s="71">
        <f t="shared" si="42"/>
        <v>2.3261450558275634</v>
      </c>
      <c r="Q54" s="71">
        <f t="shared" si="42"/>
        <v>1.436736652128789</v>
      </c>
      <c r="R54" s="71">
        <f t="shared" si="42"/>
        <v>6.5964663369440819</v>
      </c>
    </row>
    <row r="55" spans="1:18">
      <c r="A55" s="65" t="s">
        <v>411</v>
      </c>
      <c r="B55" s="89">
        <v>1.9999999999999999E-7</v>
      </c>
      <c r="C55" s="71">
        <f>IFERROR(C24/$B55,0)</f>
        <v>0</v>
      </c>
      <c r="D55" s="71">
        <f>IFERROR(D24/$B55,0)</f>
        <v>0</v>
      </c>
      <c r="E55" s="71">
        <f>IFERROR(E24/$B55,0)</f>
        <v>0</v>
      </c>
      <c r="F55" s="71">
        <f>IFERROR(F24/$B55,0)</f>
        <v>64689090642.708275</v>
      </c>
      <c r="G55" s="70">
        <f t="shared" si="35"/>
        <v>64689090642.708267</v>
      </c>
      <c r="H55" s="70">
        <f t="shared" si="36"/>
        <v>64689090642.708267</v>
      </c>
      <c r="I55" s="71">
        <f t="shared" ref="I55:R55" si="43">IFERROR(I24/$B55,0)</f>
        <v>10775364274.621607</v>
      </c>
      <c r="J55" s="71">
        <f t="shared" si="43"/>
        <v>53524685285.702103</v>
      </c>
      <c r="K55" s="71">
        <f t="shared" si="43"/>
        <v>18754069119.188755</v>
      </c>
      <c r="L55" s="71">
        <f t="shared" si="43"/>
        <v>12043054189.282974</v>
      </c>
      <c r="M55" s="71">
        <f t="shared" si="43"/>
        <v>54223881511.071472</v>
      </c>
      <c r="N55" s="71">
        <f t="shared" si="43"/>
        <v>12855009579.623577</v>
      </c>
      <c r="O55" s="71">
        <f t="shared" si="43"/>
        <v>63854949545.842606</v>
      </c>
      <c r="P55" s="71">
        <f t="shared" si="43"/>
        <v>22373604459.192181</v>
      </c>
      <c r="Q55" s="71">
        <f t="shared" si="43"/>
        <v>14367363647.814587</v>
      </c>
      <c r="R55" s="71">
        <f t="shared" si="43"/>
        <v>64689090642.708275</v>
      </c>
    </row>
    <row r="56" spans="1:18">
      <c r="A56" s="65" t="s">
        <v>412</v>
      </c>
      <c r="B56" s="89">
        <v>0.99979000004200003</v>
      </c>
      <c r="C56" s="71">
        <f>IFERROR(C20/$B56,0)</f>
        <v>0</v>
      </c>
      <c r="D56" s="71">
        <f>IFERROR(D20/$B56,0)</f>
        <v>0</v>
      </c>
      <c r="E56" s="71">
        <f>IFERROR(E20/$B56,0)</f>
        <v>0</v>
      </c>
      <c r="F56" s="71">
        <f>IFERROR(F20/$B56,0)</f>
        <v>119046.35074599036</v>
      </c>
      <c r="G56" s="70">
        <f t="shared" si="35"/>
        <v>119046.35074599035</v>
      </c>
      <c r="H56" s="70">
        <f t="shared" si="36"/>
        <v>119046.35074599035</v>
      </c>
      <c r="I56" s="71">
        <f t="shared" ref="I56:R56" si="44">IFERROR(I20/$B56,0)</f>
        <v>19350.024990982904</v>
      </c>
      <c r="J56" s="71">
        <f t="shared" si="44"/>
        <v>99459.128453652098</v>
      </c>
      <c r="K56" s="71">
        <f t="shared" si="44"/>
        <v>34775.919039738495</v>
      </c>
      <c r="L56" s="71">
        <f t="shared" si="44"/>
        <v>22004.231958772594</v>
      </c>
      <c r="M56" s="71">
        <f t="shared" si="44"/>
        <v>100972.30767259571</v>
      </c>
      <c r="N56" s="71">
        <f t="shared" si="44"/>
        <v>22813.679464368837</v>
      </c>
      <c r="O56" s="71">
        <f t="shared" si="44"/>
        <v>117262.31244685584</v>
      </c>
      <c r="P56" s="71">
        <f t="shared" si="44"/>
        <v>41000.808547851702</v>
      </c>
      <c r="Q56" s="71">
        <f t="shared" si="44"/>
        <v>25942.989479392883</v>
      </c>
      <c r="R56" s="71">
        <f t="shared" si="44"/>
        <v>119046.35074599036</v>
      </c>
    </row>
    <row r="57" spans="1:18">
      <c r="A57" s="65" t="s">
        <v>413</v>
      </c>
      <c r="B57" s="89">
        <v>2.0999995799999999E-4</v>
      </c>
      <c r="C57" s="71">
        <f>IFERROR(C29/$B57,0)</f>
        <v>0</v>
      </c>
      <c r="D57" s="71">
        <f>IFERROR(D29/$B57,0)</f>
        <v>0</v>
      </c>
      <c r="E57" s="71">
        <f>IFERROR(E29/$B57,0)</f>
        <v>0</v>
      </c>
      <c r="F57" s="71">
        <f>IFERROR(F29/$B57,0)</f>
        <v>16895.711036184341</v>
      </c>
      <c r="G57" s="70">
        <f t="shared" si="35"/>
        <v>16895.711036184341</v>
      </c>
      <c r="H57" s="70">
        <f t="shared" si="36"/>
        <v>16895.711036184341</v>
      </c>
      <c r="I57" s="71">
        <f t="shared" ref="I57:R57" si="45">IFERROR(I29/$B57,0)</f>
        <v>0</v>
      </c>
      <c r="J57" s="71">
        <f t="shared" si="45"/>
        <v>0</v>
      </c>
      <c r="K57" s="71">
        <f t="shared" si="45"/>
        <v>0</v>
      </c>
      <c r="L57" s="71">
        <f t="shared" si="45"/>
        <v>0</v>
      </c>
      <c r="M57" s="71">
        <f t="shared" si="45"/>
        <v>0</v>
      </c>
      <c r="N57" s="71">
        <f t="shared" si="45"/>
        <v>3108.4343730435144</v>
      </c>
      <c r="O57" s="71">
        <f t="shared" si="45"/>
        <v>17020.573579226075</v>
      </c>
      <c r="P57" s="71">
        <f t="shared" si="45"/>
        <v>5926.4842186689521</v>
      </c>
      <c r="Q57" s="71">
        <f t="shared" si="45"/>
        <v>3687.4162047464674</v>
      </c>
      <c r="R57" s="71">
        <f t="shared" si="45"/>
        <v>16895.711036184341</v>
      </c>
    </row>
    <row r="58" spans="1:18">
      <c r="A58" s="65" t="s">
        <v>414</v>
      </c>
      <c r="B58" s="89">
        <v>1</v>
      </c>
      <c r="C58" s="71">
        <f>IFERROR(C16/$B58,0)</f>
        <v>5.2832565147836082E-3</v>
      </c>
      <c r="D58" s="71">
        <f>IFERROR(D16/$B58,0)</f>
        <v>2.4988616290524844E-5</v>
      </c>
      <c r="E58" s="71">
        <f>IFERROR(E16/$B58,0)</f>
        <v>1.8268994769543207E-2</v>
      </c>
      <c r="F58" s="71">
        <f>IFERROR(F16/$B58,0)</f>
        <v>4316.5807949604414</v>
      </c>
      <c r="G58" s="70">
        <f t="shared" si="35"/>
        <v>4.0981090442195871E-3</v>
      </c>
      <c r="H58" s="70">
        <f t="shared" si="36"/>
        <v>2.4870981989665063E-5</v>
      </c>
      <c r="I58" s="71">
        <f t="shared" ref="I58:R58" si="46">IFERROR(I16/$B58,0)</f>
        <v>3491.5445822860183</v>
      </c>
      <c r="J58" s="71">
        <f t="shared" si="46"/>
        <v>5492.3173204499162</v>
      </c>
      <c r="K58" s="71">
        <f t="shared" si="46"/>
        <v>3555.0272110548553</v>
      </c>
      <c r="L58" s="71">
        <f t="shared" si="46"/>
        <v>3491.5445822860183</v>
      </c>
      <c r="M58" s="71">
        <f t="shared" si="46"/>
        <v>2879.6402901670722</v>
      </c>
      <c r="N58" s="71">
        <f t="shared" si="46"/>
        <v>5233.8253288467413</v>
      </c>
      <c r="O58" s="71">
        <f t="shared" si="46"/>
        <v>8232.9836633544255</v>
      </c>
      <c r="P58" s="71">
        <f t="shared" si="46"/>
        <v>5328.9857893712278</v>
      </c>
      <c r="Q58" s="71">
        <f t="shared" si="46"/>
        <v>5233.8253288467413</v>
      </c>
      <c r="R58" s="71">
        <f t="shared" si="46"/>
        <v>4316.5807949604414</v>
      </c>
    </row>
    <row r="59" spans="1:18">
      <c r="A59" s="65" t="s">
        <v>415</v>
      </c>
      <c r="B59" s="89">
        <v>1</v>
      </c>
      <c r="C59" s="71">
        <f>IFERROR(C7/$B59,0)</f>
        <v>2.80698208724381</v>
      </c>
      <c r="D59" s="71">
        <f>IFERROR(D7/$B59,0)</f>
        <v>1.0320640837798961E-3</v>
      </c>
      <c r="E59" s="71">
        <f>IFERROR(E7/$B59,0)</f>
        <v>0.75453451000236682</v>
      </c>
      <c r="F59" s="71">
        <f>IFERROR(F7/$B59,0)</f>
        <v>266.86553632661412</v>
      </c>
      <c r="G59" s="70">
        <f t="shared" si="35"/>
        <v>0.59335837341001474</v>
      </c>
      <c r="H59" s="70">
        <f t="shared" si="36"/>
        <v>1.0316807681239541E-3</v>
      </c>
      <c r="I59" s="71">
        <f t="shared" ref="I59:R59" si="47">IFERROR(I7/$B59,0)</f>
        <v>1595.4091938719923</v>
      </c>
      <c r="J59" s="71">
        <f t="shared" si="47"/>
        <v>2782.469605979129</v>
      </c>
      <c r="K59" s="71">
        <f t="shared" si="47"/>
        <v>1923.682690553472</v>
      </c>
      <c r="L59" s="71">
        <f t="shared" si="47"/>
        <v>1628.7626961829048</v>
      </c>
      <c r="M59" s="71">
        <f t="shared" si="47"/>
        <v>212.81143247736372</v>
      </c>
      <c r="N59" s="71">
        <f t="shared" si="47"/>
        <v>2000.6431291154784</v>
      </c>
      <c r="O59" s="71">
        <f t="shared" si="47"/>
        <v>3489.216885897828</v>
      </c>
      <c r="P59" s="71">
        <f t="shared" si="47"/>
        <v>2412.2980939540539</v>
      </c>
      <c r="Q59" s="71">
        <f t="shared" si="47"/>
        <v>2042.4684210133628</v>
      </c>
      <c r="R59" s="71">
        <f t="shared" si="47"/>
        <v>266.86553632661412</v>
      </c>
    </row>
    <row r="60" spans="1:18">
      <c r="A60" s="65" t="s">
        <v>416</v>
      </c>
      <c r="B60" s="91">
        <v>1.9000000000000001E-8</v>
      </c>
      <c r="C60" s="71">
        <f>IFERROR(C12/$B60,0)</f>
        <v>0</v>
      </c>
      <c r="D60" s="71">
        <f>IFERROR(D12/$B60,0)</f>
        <v>0</v>
      </c>
      <c r="E60" s="71">
        <f>IFERROR(E12/$B60,0)</f>
        <v>0</v>
      </c>
      <c r="F60" s="71">
        <f>IFERROR(F12/$B60,0)</f>
        <v>3308717882.3963819</v>
      </c>
      <c r="G60" s="70">
        <f t="shared" si="35"/>
        <v>3308717882.3963823</v>
      </c>
      <c r="H60" s="70">
        <f t="shared" si="36"/>
        <v>3308717882.3963823</v>
      </c>
      <c r="I60" s="71">
        <f t="shared" ref="I60:R60" si="48">IFERROR(I12/$B60,0)</f>
        <v>0</v>
      </c>
      <c r="J60" s="71">
        <f t="shared" si="48"/>
        <v>0</v>
      </c>
      <c r="K60" s="71">
        <f t="shared" si="48"/>
        <v>0</v>
      </c>
      <c r="L60" s="71">
        <f t="shared" si="48"/>
        <v>0</v>
      </c>
      <c r="M60" s="71">
        <f t="shared" si="48"/>
        <v>0</v>
      </c>
      <c r="N60" s="71">
        <f t="shared" si="48"/>
        <v>940610457.04562759</v>
      </c>
      <c r="O60" s="71">
        <f t="shared" si="48"/>
        <v>4157954581.0103211</v>
      </c>
      <c r="P60" s="71">
        <f t="shared" si="48"/>
        <v>1490435893.2896898</v>
      </c>
      <c r="Q60" s="71">
        <f t="shared" si="48"/>
        <v>1004951888.9608008</v>
      </c>
      <c r="R60" s="71">
        <f t="shared" si="48"/>
        <v>3308717882.3963819</v>
      </c>
    </row>
    <row r="61" spans="1:18">
      <c r="A61" s="65" t="s">
        <v>417</v>
      </c>
      <c r="B61" s="89">
        <v>1</v>
      </c>
      <c r="C61" s="71">
        <f>IFERROR(C18/$B61,0)</f>
        <v>3.0389640779251168E-3</v>
      </c>
      <c r="D61" s="71">
        <f>IFERROR(D18/$B61,0)</f>
        <v>3.2196870989714707E-5</v>
      </c>
      <c r="E61" s="71">
        <f>IFERROR(E18/$B61,0)</f>
        <v>2.3538897106911438E-2</v>
      </c>
      <c r="F61" s="71">
        <f>IFERROR(F18/$B61,0)</f>
        <v>1015941.4669266982</v>
      </c>
      <c r="G61" s="70">
        <f t="shared" si="35"/>
        <v>2.6914830375132062E-3</v>
      </c>
      <c r="H61" s="70">
        <f t="shared" si="36"/>
        <v>3.1859331368105821E-5</v>
      </c>
      <c r="I61" s="71">
        <f t="shared" ref="I61:R61" si="49">IFERROR(I18/$B61,0)</f>
        <v>164632.85106101676</v>
      </c>
      <c r="J61" s="71">
        <f t="shared" si="49"/>
        <v>848449.16417111049</v>
      </c>
      <c r="K61" s="71">
        <f t="shared" si="49"/>
        <v>295947.14893111348</v>
      </c>
      <c r="L61" s="71">
        <f t="shared" si="49"/>
        <v>188330.00386525405</v>
      </c>
      <c r="M61" s="71">
        <f t="shared" si="49"/>
        <v>861697.59705402725</v>
      </c>
      <c r="N61" s="71">
        <f t="shared" si="49"/>
        <v>194102.13140093876</v>
      </c>
      <c r="O61" s="71">
        <f t="shared" si="49"/>
        <v>1000321.5645577392</v>
      </c>
      <c r="P61" s="71">
        <f t="shared" si="49"/>
        <v>348921.68858978286</v>
      </c>
      <c r="Q61" s="71">
        <f t="shared" si="49"/>
        <v>222041.0745571345</v>
      </c>
      <c r="R61" s="71">
        <f t="shared" si="49"/>
        <v>1015941.4669266982</v>
      </c>
    </row>
    <row r="62" spans="1:18">
      <c r="A62" s="65" t="s">
        <v>418</v>
      </c>
      <c r="B62" s="89">
        <v>1.339E-6</v>
      </c>
      <c r="C62" s="71">
        <f>IFERROR(C27/$B62,0)</f>
        <v>0</v>
      </c>
      <c r="D62" s="71">
        <f>IFERROR(D27/$B62,0)</f>
        <v>0</v>
      </c>
      <c r="E62" s="71">
        <f>IFERROR(E27/$B62,0)</f>
        <v>0</v>
      </c>
      <c r="F62" s="71">
        <f>IFERROR(F27/$B62,0)</f>
        <v>114305626.6390409</v>
      </c>
      <c r="G62" s="70">
        <f t="shared" si="35"/>
        <v>114305626.6390409</v>
      </c>
      <c r="H62" s="70">
        <f t="shared" si="36"/>
        <v>114305626.6390409</v>
      </c>
      <c r="I62" s="71">
        <f t="shared" ref="I62:R62" si="50">IFERROR(I27/$B62,0)</f>
        <v>479423483.14135247</v>
      </c>
      <c r="J62" s="71">
        <f t="shared" si="50"/>
        <v>807698676.03124428</v>
      </c>
      <c r="K62" s="71">
        <f t="shared" si="50"/>
        <v>579373961.95880771</v>
      </c>
      <c r="L62" s="71">
        <f t="shared" si="50"/>
        <v>491642672.36684424</v>
      </c>
      <c r="M62" s="71">
        <f t="shared" si="50"/>
        <v>85622192.238981932</v>
      </c>
      <c r="N62" s="71">
        <f t="shared" si="50"/>
        <v>640030349.99370563</v>
      </c>
      <c r="O62" s="71">
        <f t="shared" si="50"/>
        <v>1078277732.5017109</v>
      </c>
      <c r="P62" s="71">
        <f t="shared" si="50"/>
        <v>773464239.21500814</v>
      </c>
      <c r="Q62" s="71">
        <f t="shared" si="50"/>
        <v>656342967.60973716</v>
      </c>
      <c r="R62" s="71">
        <f t="shared" si="50"/>
        <v>114305626.6390409</v>
      </c>
    </row>
    <row r="63" spans="1:18">
      <c r="A63" s="63" t="s">
        <v>30</v>
      </c>
      <c r="B63" s="82" t="s">
        <v>6</v>
      </c>
      <c r="C63" s="67">
        <f>IFERROR(1/SUM(1/C66,1/C68,1/C72,1/C73,1/C75),0)</f>
        <v>1.927669200576954E-3</v>
      </c>
      <c r="D63" s="67">
        <f>IFERROR(1/SUM(1/D64,1/D65,1/D66,1/D68,1/D72,1/D73,1/D75),0)</f>
        <v>1.3846444832469878E-5</v>
      </c>
      <c r="E63" s="67">
        <f t="shared" ref="E63" si="51">IFERROR(1/SUM(1/E64,1/E65,1/E66,1/E68,1/E72,1/E73,1/E75),0)</f>
        <v>1.0123034636258674E-2</v>
      </c>
      <c r="F63" s="67">
        <f>IFERROR(1/SUM(1/F64,1/F65,1/F66,1/F67,1/F68,1/F69,1/F70,1/F71,1/F72,1/F73,1/F74,1/F75,1/F76),0)</f>
        <v>5.5059867635224489</v>
      </c>
      <c r="G63" s="68">
        <f t="shared" ref="G63:R63" si="52">IFERROR(1/SUM(1/G64,1/G65,1/G66,1/G67,1/G68,1/G69,1/G70,1/G71,1/G72,1/G73,1/G74,1/G75,1/G76),0)</f>
        <v>1.618836957659128E-3</v>
      </c>
      <c r="H63" s="68">
        <f t="shared" si="52"/>
        <v>1.3747660833757032E-5</v>
      </c>
      <c r="I63" s="67">
        <f>IFERROR(1/SUM(1/I64,1/I65,1/I66,1/I67,1/I68,1/I69,1/I70,1/I72,1/I73,1/I75,1/I76),0)</f>
        <v>0.90255795022969232</v>
      </c>
      <c r="J63" s="67">
        <f t="shared" ref="J63:M63" si="53">IFERROR(1/SUM(1/J64,1/J65,1/J66,1/J67,1/J68,1/J69,1/J70,1/J72,1/J73,1/J75,1/J76),0)</f>
        <v>4.8936891814317018</v>
      </c>
      <c r="K63" s="67">
        <f t="shared" si="53"/>
        <v>1.7020122326968627</v>
      </c>
      <c r="L63" s="67">
        <f t="shared" si="53"/>
        <v>1.0650112745254929</v>
      </c>
      <c r="M63" s="67">
        <f t="shared" si="53"/>
        <v>4.7043733128252576</v>
      </c>
      <c r="N63" s="67">
        <f t="shared" si="52"/>
        <v>1.0523599764255676</v>
      </c>
      <c r="O63" s="67">
        <f t="shared" si="52"/>
        <v>5.71892225174643</v>
      </c>
      <c r="P63" s="67">
        <f t="shared" si="52"/>
        <v>1.9882476025252018</v>
      </c>
      <c r="Q63" s="67">
        <f t="shared" si="52"/>
        <v>1.2430451170025567</v>
      </c>
      <c r="R63" s="67">
        <f t="shared" si="52"/>
        <v>5.5059867635224489</v>
      </c>
    </row>
    <row r="64" spans="1:18">
      <c r="A64" s="65" t="s">
        <v>406</v>
      </c>
      <c r="B64" s="89">
        <v>1</v>
      </c>
      <c r="C64" s="72">
        <f>IFERROR(C25/$B64,0)</f>
        <v>0</v>
      </c>
      <c r="D64" s="72">
        <f>IFERROR(D25/$B64,0)</f>
        <v>8.5117712680595412E-2</v>
      </c>
      <c r="E64" s="72">
        <f>IFERROR(E25/$B64,0)</f>
        <v>62.228937756225733</v>
      </c>
      <c r="F64" s="72">
        <f>IFERROR(F25/$B64,0)</f>
        <v>25180.054637269241</v>
      </c>
      <c r="G64" s="70">
        <f t="shared" ref="G64:G76" si="54">(IF(AND(C64&lt;&gt;0,E64&lt;&gt;0,F64&lt;&gt;0),1/((1/C64)+(1/E64)+(1/F64)),IF(AND(C64&lt;&gt;0,E64&lt;&gt;0,F64=0), 1/((1/C64)+(1/E64)),IF(AND(C64&lt;&gt;0,E64=0,F64&lt;&gt;0),1/((1/C64)+(1/F64)),IF(AND(C64=0,E64&lt;&gt;0,F64&lt;&gt;0),1/((1/E64)+(1/F64)),IF(AND(C64&lt;&gt;0,E64=0,F64=0),1/(1/C64),IF(AND(C64=0,E64&lt;&gt;0,F64=0),1/(1/E64),IF(AND(C64=0,E64=0,F64&lt;&gt;0),1/(1/F64),IF(AND(C64=0,E64=0,F64=0),0)))))))))</f>
        <v>62.075526885820189</v>
      </c>
      <c r="H64" s="70">
        <f t="shared" ref="H64:H76" si="55">(IF(AND(C64&lt;&gt;0,D64&lt;&gt;0,F64&lt;&gt;0),1/((1/C64)+(1/D64)+(1/F64)),IF(AND(C64&lt;&gt;0,D64&lt;&gt;0,F64=0), 1/((1/C64)+(1/D64)),IF(AND(C64&lt;&gt;0,D64=0,F64&lt;&gt;0),1/((1/C64)+(1/F64)),IF(AND(C64=0,D64&lt;&gt;0,F64&lt;&gt;0),1/((1/D64)+(1/F64)),IF(AND(C64&lt;&gt;0,D64=0,F64=0),1/(1/C64),IF(AND(C64=0,D64&lt;&gt;0,F64=0),1/(1/D64),IF(AND(C64=0,D64=0,F64&lt;&gt;0),1/(1/F64),IF(AND(C64=0,D64=0,F64=0),0)))))))))</f>
        <v>8.5117424952843204E-2</v>
      </c>
      <c r="I64" s="72">
        <f t="shared" ref="I64:R64" si="56">IFERROR(I25/$B64,0)</f>
        <v>4281.4353304324977</v>
      </c>
      <c r="J64" s="72">
        <f t="shared" si="56"/>
        <v>20681.509647004441</v>
      </c>
      <c r="K64" s="72">
        <f t="shared" si="56"/>
        <v>7252.3570233180508</v>
      </c>
      <c r="L64" s="72">
        <f t="shared" si="56"/>
        <v>4693.1118045125459</v>
      </c>
      <c r="M64" s="72">
        <f t="shared" si="56"/>
        <v>20965.907274995203</v>
      </c>
      <c r="N64" s="72">
        <f t="shared" si="56"/>
        <v>5142.0038318494308</v>
      </c>
      <c r="O64" s="72">
        <f t="shared" si="56"/>
        <v>24838.493086052338</v>
      </c>
      <c r="P64" s="72">
        <f t="shared" si="56"/>
        <v>8710.0807850049787</v>
      </c>
      <c r="Q64" s="72">
        <f t="shared" si="56"/>
        <v>5636.42727721957</v>
      </c>
      <c r="R64" s="72">
        <f t="shared" si="56"/>
        <v>25180.054637269241</v>
      </c>
    </row>
    <row r="65" spans="1:18">
      <c r="A65" s="65" t="s">
        <v>407</v>
      </c>
      <c r="B65" s="89">
        <v>1</v>
      </c>
      <c r="C65" s="72">
        <f>IFERROR(C21/$B65,0)</f>
        <v>0</v>
      </c>
      <c r="D65" s="72">
        <f>IFERROR(D21/$B65,0)</f>
        <v>7.3165487934107598E-2</v>
      </c>
      <c r="E65" s="72">
        <f>IFERROR(E21/$B65,0)</f>
        <v>53.490753583107427</v>
      </c>
      <c r="F65" s="72">
        <f>IFERROR(F21/$B65,0)</f>
        <v>1565076077.7049551</v>
      </c>
      <c r="G65" s="70">
        <f t="shared" si="54"/>
        <v>53.490751754914747</v>
      </c>
      <c r="H65" s="70">
        <f t="shared" si="55"/>
        <v>7.3165487930687195E-2</v>
      </c>
      <c r="I65" s="72">
        <f t="shared" ref="I65:R65" si="57">IFERROR(I21/$B65,0)</f>
        <v>1008170151.9866868</v>
      </c>
      <c r="J65" s="72">
        <f t="shared" si="57"/>
        <v>2146707133.971652</v>
      </c>
      <c r="K65" s="72">
        <f t="shared" si="57"/>
        <v>1147548514.012496</v>
      </c>
      <c r="L65" s="72">
        <f t="shared" si="57"/>
        <v>1008170151.9866868</v>
      </c>
      <c r="M65" s="72">
        <f t="shared" si="57"/>
        <v>1196744664.3453352</v>
      </c>
      <c r="N65" s="72">
        <f t="shared" si="57"/>
        <v>1318462520.9870334</v>
      </c>
      <c r="O65" s="72">
        <f t="shared" si="57"/>
        <v>2807415885.2051497</v>
      </c>
      <c r="P65" s="72">
        <f t="shared" si="57"/>
        <v>1500738445.5474529</v>
      </c>
      <c r="Q65" s="72">
        <f t="shared" si="57"/>
        <v>1318462520.9870334</v>
      </c>
      <c r="R65" s="72">
        <f t="shared" si="57"/>
        <v>1565076077.7049551</v>
      </c>
    </row>
    <row r="66" spans="1:18">
      <c r="A66" s="65" t="s">
        <v>408</v>
      </c>
      <c r="B66" s="89">
        <v>0.99980000000000002</v>
      </c>
      <c r="C66" s="72">
        <f>IFERROR(C17/$B66,0)</f>
        <v>26.459583530298808</v>
      </c>
      <c r="D66" s="72">
        <f>IFERROR(D17/$B66,0)</f>
        <v>1.1966363617313586E-2</v>
      </c>
      <c r="E66" s="72">
        <f>IFERROR(E17/$B66,0)</f>
        <v>8.7485209982614212</v>
      </c>
      <c r="F66" s="72">
        <f>IFERROR(F17/$B66,0)</f>
        <v>38.554955127091908</v>
      </c>
      <c r="G66" s="70">
        <f t="shared" si="54"/>
        <v>5.6168564206612386</v>
      </c>
      <c r="H66" s="70">
        <f t="shared" si="55"/>
        <v>1.195724475636187E-2</v>
      </c>
      <c r="I66" s="72">
        <f t="shared" ref="I66:R66" si="58">IFERROR(I17/$B66,0)</f>
        <v>6.9806275237459188</v>
      </c>
      <c r="J66" s="72">
        <f t="shared" si="58"/>
        <v>31.319748823206677</v>
      </c>
      <c r="K66" s="72">
        <f t="shared" si="58"/>
        <v>11.106293908938543</v>
      </c>
      <c r="L66" s="72">
        <f t="shared" si="58"/>
        <v>7.4689385110985747</v>
      </c>
      <c r="M66" s="72">
        <f t="shared" si="58"/>
        <v>30.893393531323639</v>
      </c>
      <c r="N66" s="72">
        <f t="shared" si="58"/>
        <v>8.7118231496349061</v>
      </c>
      <c r="O66" s="72">
        <f t="shared" si="58"/>
        <v>39.087046531361935</v>
      </c>
      <c r="P66" s="72">
        <f t="shared" si="58"/>
        <v>13.860654798355299</v>
      </c>
      <c r="Q66" s="72">
        <f t="shared" si="58"/>
        <v>9.3212352618510224</v>
      </c>
      <c r="R66" s="72">
        <f t="shared" si="58"/>
        <v>38.554955127091908</v>
      </c>
    </row>
    <row r="67" spans="1:18">
      <c r="A67" s="65" t="s">
        <v>409</v>
      </c>
      <c r="B67" s="89">
        <v>2.0000000000000001E-4</v>
      </c>
      <c r="C67" s="72">
        <f>IFERROR(C5/$B67,0)</f>
        <v>0</v>
      </c>
      <c r="D67" s="72">
        <f>IFERROR(D5/$B67,0)</f>
        <v>0</v>
      </c>
      <c r="E67" s="72">
        <f>IFERROR(E5/$B67,0)</f>
        <v>0</v>
      </c>
      <c r="F67" s="72">
        <f>IFERROR(F5/$B67,0)</f>
        <v>416310236.66951805</v>
      </c>
      <c r="G67" s="70">
        <f t="shared" si="54"/>
        <v>416310236.66951805</v>
      </c>
      <c r="H67" s="70">
        <f t="shared" si="55"/>
        <v>416310236.66951805</v>
      </c>
      <c r="I67" s="72">
        <f t="shared" ref="I67:R67" si="59">IFERROR(I5/$B67,0)</f>
        <v>657884712.83566594</v>
      </c>
      <c r="J67" s="72">
        <f t="shared" si="59"/>
        <v>1160057067.6037185</v>
      </c>
      <c r="K67" s="72">
        <f t="shared" si="59"/>
        <v>827213689.55708194</v>
      </c>
      <c r="L67" s="72">
        <f t="shared" si="59"/>
        <v>685488267.22037935</v>
      </c>
      <c r="M67" s="72">
        <f t="shared" si="59"/>
        <v>250621547.15890723</v>
      </c>
      <c r="N67" s="72">
        <f t="shared" si="59"/>
        <v>1092819606.3214672</v>
      </c>
      <c r="O67" s="72">
        <f t="shared" si="59"/>
        <v>1926983684.5195103</v>
      </c>
      <c r="P67" s="72">
        <f t="shared" si="59"/>
        <v>1374093850.9864862</v>
      </c>
      <c r="Q67" s="72">
        <f t="shared" si="59"/>
        <v>1138672177.2160742</v>
      </c>
      <c r="R67" s="72">
        <f t="shared" si="59"/>
        <v>416310236.66951805</v>
      </c>
    </row>
    <row r="68" spans="1:18">
      <c r="A68" s="65" t="s">
        <v>410</v>
      </c>
      <c r="B68" s="89">
        <v>0.99999979999999999</v>
      </c>
      <c r="C68" s="72">
        <f>IFERROR(C9/$B68,0)</f>
        <v>32.831672051061119</v>
      </c>
      <c r="D68" s="72">
        <f>IFERROR(D9/$B68,0)</f>
        <v>1.5232817747599067E-2</v>
      </c>
      <c r="E68" s="72">
        <f>IFERROR(E9/$B68,0)</f>
        <v>11.13660174380337</v>
      </c>
      <c r="F68" s="72">
        <f>IFERROR(F9/$B68,0)</f>
        <v>6.5964663369440819</v>
      </c>
      <c r="G68" s="70">
        <f t="shared" si="54"/>
        <v>3.6785166401019476</v>
      </c>
      <c r="H68" s="70">
        <f t="shared" si="55"/>
        <v>1.5190690829199376E-2</v>
      </c>
      <c r="I68" s="72">
        <f t="shared" ref="I68:R68" si="60">IFERROR(I9/$B68,0)</f>
        <v>1.037878440971584</v>
      </c>
      <c r="J68" s="72">
        <f t="shared" si="60"/>
        <v>5.8202128169163396</v>
      </c>
      <c r="K68" s="72">
        <f t="shared" si="60"/>
        <v>2.0139784033139074</v>
      </c>
      <c r="L68" s="72">
        <f t="shared" si="60"/>
        <v>1.2439278373409428</v>
      </c>
      <c r="M68" s="72">
        <f t="shared" si="60"/>
        <v>5.7112262657524528</v>
      </c>
      <c r="N68" s="72">
        <f t="shared" si="60"/>
        <v>1.1987495993221799</v>
      </c>
      <c r="O68" s="72">
        <f t="shared" si="60"/>
        <v>6.7223458035383716</v>
      </c>
      <c r="P68" s="72">
        <f t="shared" si="60"/>
        <v>2.3261450558275634</v>
      </c>
      <c r="Q68" s="72">
        <f t="shared" si="60"/>
        <v>1.436736652128789</v>
      </c>
      <c r="R68" s="72">
        <f t="shared" si="60"/>
        <v>6.5964663369440819</v>
      </c>
    </row>
    <row r="69" spans="1:18">
      <c r="A69" s="65" t="s">
        <v>411</v>
      </c>
      <c r="B69" s="89">
        <v>1.9999999999999999E-7</v>
      </c>
      <c r="C69" s="72">
        <f>IFERROR(C24/$B69,0)</f>
        <v>0</v>
      </c>
      <c r="D69" s="72">
        <f>IFERROR(D24/$B69,0)</f>
        <v>0</v>
      </c>
      <c r="E69" s="72">
        <f>IFERROR(E24/$B69,0)</f>
        <v>0</v>
      </c>
      <c r="F69" s="72">
        <f>IFERROR(F24/$B69,0)</f>
        <v>64689090642.708275</v>
      </c>
      <c r="G69" s="70">
        <f t="shared" si="54"/>
        <v>64689090642.708267</v>
      </c>
      <c r="H69" s="70">
        <f t="shared" si="55"/>
        <v>64689090642.708267</v>
      </c>
      <c r="I69" s="72">
        <f t="shared" ref="I69:R69" si="61">IFERROR(I24/$B69,0)</f>
        <v>10775364274.621607</v>
      </c>
      <c r="J69" s="72">
        <f t="shared" si="61"/>
        <v>53524685285.702103</v>
      </c>
      <c r="K69" s="72">
        <f t="shared" si="61"/>
        <v>18754069119.188755</v>
      </c>
      <c r="L69" s="72">
        <f t="shared" si="61"/>
        <v>12043054189.282974</v>
      </c>
      <c r="M69" s="72">
        <f t="shared" si="61"/>
        <v>54223881511.071472</v>
      </c>
      <c r="N69" s="72">
        <f t="shared" si="61"/>
        <v>12855009579.623577</v>
      </c>
      <c r="O69" s="72">
        <f t="shared" si="61"/>
        <v>63854949545.842606</v>
      </c>
      <c r="P69" s="72">
        <f t="shared" si="61"/>
        <v>22373604459.192181</v>
      </c>
      <c r="Q69" s="72">
        <f t="shared" si="61"/>
        <v>14367363647.814587</v>
      </c>
      <c r="R69" s="72">
        <f t="shared" si="61"/>
        <v>64689090642.708275</v>
      </c>
    </row>
    <row r="70" spans="1:18">
      <c r="A70" s="65" t="s">
        <v>412</v>
      </c>
      <c r="B70" s="89">
        <v>0.99979000004200003</v>
      </c>
      <c r="C70" s="72">
        <f>IFERROR(C20/$B70,0)</f>
        <v>0</v>
      </c>
      <c r="D70" s="72">
        <f>IFERROR(D20/$B70,0)</f>
        <v>0</v>
      </c>
      <c r="E70" s="72">
        <f>IFERROR(E20/$B70,0)</f>
        <v>0</v>
      </c>
      <c r="F70" s="72">
        <f>IFERROR(F20/$B70,0)</f>
        <v>119046.35074599036</v>
      </c>
      <c r="G70" s="70">
        <f t="shared" si="54"/>
        <v>119046.35074599035</v>
      </c>
      <c r="H70" s="70">
        <f t="shared" si="55"/>
        <v>119046.35074599035</v>
      </c>
      <c r="I70" s="72">
        <f t="shared" ref="I70:R70" si="62">IFERROR(I20/$B70,0)</f>
        <v>19350.024990982904</v>
      </c>
      <c r="J70" s="72">
        <f t="shared" si="62"/>
        <v>99459.128453652098</v>
      </c>
      <c r="K70" s="72">
        <f t="shared" si="62"/>
        <v>34775.919039738495</v>
      </c>
      <c r="L70" s="72">
        <f t="shared" si="62"/>
        <v>22004.231958772594</v>
      </c>
      <c r="M70" s="72">
        <f t="shared" si="62"/>
        <v>100972.30767259571</v>
      </c>
      <c r="N70" s="72">
        <f t="shared" si="62"/>
        <v>22813.679464368837</v>
      </c>
      <c r="O70" s="72">
        <f t="shared" si="62"/>
        <v>117262.31244685584</v>
      </c>
      <c r="P70" s="72">
        <f t="shared" si="62"/>
        <v>41000.808547851702</v>
      </c>
      <c r="Q70" s="72">
        <f t="shared" si="62"/>
        <v>25942.989479392883</v>
      </c>
      <c r="R70" s="72">
        <f t="shared" si="62"/>
        <v>119046.35074599036</v>
      </c>
    </row>
    <row r="71" spans="1:18">
      <c r="A71" s="65" t="s">
        <v>413</v>
      </c>
      <c r="B71" s="89">
        <v>2.0999995799999999E-4</v>
      </c>
      <c r="C71" s="72">
        <f>IFERROR(C29/$B71,0)</f>
        <v>0</v>
      </c>
      <c r="D71" s="72">
        <f>IFERROR(D29/$B71,0)</f>
        <v>0</v>
      </c>
      <c r="E71" s="72">
        <f>IFERROR(E29/$B71,0)</f>
        <v>0</v>
      </c>
      <c r="F71" s="72">
        <f>IFERROR(F29/$B71,0)</f>
        <v>16895.711036184341</v>
      </c>
      <c r="G71" s="70">
        <f t="shared" si="54"/>
        <v>16895.711036184341</v>
      </c>
      <c r="H71" s="70">
        <f t="shared" si="55"/>
        <v>16895.711036184341</v>
      </c>
      <c r="I71" s="72">
        <f t="shared" ref="I71:R71" si="63">IFERROR(I29/$B71,0)</f>
        <v>0</v>
      </c>
      <c r="J71" s="72">
        <f t="shared" si="63"/>
        <v>0</v>
      </c>
      <c r="K71" s="72">
        <f t="shared" si="63"/>
        <v>0</v>
      </c>
      <c r="L71" s="72">
        <f t="shared" si="63"/>
        <v>0</v>
      </c>
      <c r="M71" s="72">
        <f t="shared" si="63"/>
        <v>0</v>
      </c>
      <c r="N71" s="72">
        <f t="shared" si="63"/>
        <v>3108.4343730435144</v>
      </c>
      <c r="O71" s="72">
        <f t="shared" si="63"/>
        <v>17020.573579226075</v>
      </c>
      <c r="P71" s="72">
        <f t="shared" si="63"/>
        <v>5926.4842186689521</v>
      </c>
      <c r="Q71" s="72">
        <f t="shared" si="63"/>
        <v>3687.4162047464674</v>
      </c>
      <c r="R71" s="72">
        <f t="shared" si="63"/>
        <v>16895.711036184341</v>
      </c>
    </row>
    <row r="72" spans="1:18">
      <c r="A72" s="65" t="s">
        <v>414</v>
      </c>
      <c r="B72" s="89">
        <v>1</v>
      </c>
      <c r="C72" s="72">
        <f>IFERROR(C16/$B72,0)</f>
        <v>5.2832565147836082E-3</v>
      </c>
      <c r="D72" s="72">
        <f>IFERROR(D16/$B72,0)</f>
        <v>2.4988616290524844E-5</v>
      </c>
      <c r="E72" s="72">
        <f>IFERROR(E16/$B72,0)</f>
        <v>1.8268994769543207E-2</v>
      </c>
      <c r="F72" s="72">
        <f>IFERROR(F16/$B72,0)</f>
        <v>4316.5807949604414</v>
      </c>
      <c r="G72" s="70">
        <f t="shared" si="54"/>
        <v>4.0981090442195871E-3</v>
      </c>
      <c r="H72" s="70">
        <f t="shared" si="55"/>
        <v>2.4870981989665063E-5</v>
      </c>
      <c r="I72" s="72">
        <f t="shared" ref="I72:R72" si="64">IFERROR(I16/$B72,0)</f>
        <v>3491.5445822860183</v>
      </c>
      <c r="J72" s="72">
        <f t="shared" si="64"/>
        <v>5492.3173204499162</v>
      </c>
      <c r="K72" s="72">
        <f t="shared" si="64"/>
        <v>3555.0272110548553</v>
      </c>
      <c r="L72" s="72">
        <f t="shared" si="64"/>
        <v>3491.5445822860183</v>
      </c>
      <c r="M72" s="72">
        <f t="shared" si="64"/>
        <v>2879.6402901670722</v>
      </c>
      <c r="N72" s="72">
        <f t="shared" si="64"/>
        <v>5233.8253288467413</v>
      </c>
      <c r="O72" s="72">
        <f t="shared" si="64"/>
        <v>8232.9836633544255</v>
      </c>
      <c r="P72" s="72">
        <f t="shared" si="64"/>
        <v>5328.9857893712278</v>
      </c>
      <c r="Q72" s="72">
        <f t="shared" si="64"/>
        <v>5233.8253288467413</v>
      </c>
      <c r="R72" s="72">
        <f t="shared" si="64"/>
        <v>4316.5807949604414</v>
      </c>
    </row>
    <row r="73" spans="1:18">
      <c r="A73" s="65" t="s">
        <v>415</v>
      </c>
      <c r="B73" s="89">
        <v>1</v>
      </c>
      <c r="C73" s="72">
        <f>IFERROR(C7/$B73,0)</f>
        <v>2.80698208724381</v>
      </c>
      <c r="D73" s="72">
        <f>IFERROR(D7/$B73,0)</f>
        <v>1.0320640837798961E-3</v>
      </c>
      <c r="E73" s="72">
        <f>IFERROR(E7/$B73,0)</f>
        <v>0.75453451000236682</v>
      </c>
      <c r="F73" s="72">
        <f>IFERROR(F7/$B73,0)</f>
        <v>266.86553632661412</v>
      </c>
      <c r="G73" s="70">
        <f t="shared" si="54"/>
        <v>0.59335837341001474</v>
      </c>
      <c r="H73" s="70">
        <f t="shared" si="55"/>
        <v>1.0316807681239541E-3</v>
      </c>
      <c r="I73" s="72">
        <f t="shared" ref="I73:R73" si="65">IFERROR(I7/$B73,0)</f>
        <v>1595.4091938719923</v>
      </c>
      <c r="J73" s="72">
        <f t="shared" si="65"/>
        <v>2782.469605979129</v>
      </c>
      <c r="K73" s="72">
        <f t="shared" si="65"/>
        <v>1923.682690553472</v>
      </c>
      <c r="L73" s="72">
        <f t="shared" si="65"/>
        <v>1628.7626961829048</v>
      </c>
      <c r="M73" s="72">
        <f t="shared" si="65"/>
        <v>212.81143247736372</v>
      </c>
      <c r="N73" s="72">
        <f t="shared" si="65"/>
        <v>2000.6431291154784</v>
      </c>
      <c r="O73" s="72">
        <f t="shared" si="65"/>
        <v>3489.216885897828</v>
      </c>
      <c r="P73" s="72">
        <f t="shared" si="65"/>
        <v>2412.2980939540539</v>
      </c>
      <c r="Q73" s="72">
        <f t="shared" si="65"/>
        <v>2042.4684210133628</v>
      </c>
      <c r="R73" s="72">
        <f t="shared" si="65"/>
        <v>266.86553632661412</v>
      </c>
    </row>
    <row r="74" spans="1:18">
      <c r="A74" s="65" t="s">
        <v>416</v>
      </c>
      <c r="B74" s="91">
        <v>1.9000000000000001E-8</v>
      </c>
      <c r="C74" s="72">
        <f>IFERROR(C12/$B74,0)</f>
        <v>0</v>
      </c>
      <c r="D74" s="72">
        <f>IFERROR(D12/$B74,0)</f>
        <v>0</v>
      </c>
      <c r="E74" s="72">
        <f>IFERROR(E12/$B74,0)</f>
        <v>0</v>
      </c>
      <c r="F74" s="72">
        <f>IFERROR(F12/$B74,0)</f>
        <v>3308717882.3963819</v>
      </c>
      <c r="G74" s="70">
        <f t="shared" si="54"/>
        <v>3308717882.3963823</v>
      </c>
      <c r="H74" s="70">
        <f t="shared" si="55"/>
        <v>3308717882.3963823</v>
      </c>
      <c r="I74" s="72">
        <f t="shared" ref="I74:R74" si="66">IFERROR(I12/$B74,0)</f>
        <v>0</v>
      </c>
      <c r="J74" s="72">
        <f t="shared" si="66"/>
        <v>0</v>
      </c>
      <c r="K74" s="72">
        <f t="shared" si="66"/>
        <v>0</v>
      </c>
      <c r="L74" s="72">
        <f t="shared" si="66"/>
        <v>0</v>
      </c>
      <c r="M74" s="72">
        <f t="shared" si="66"/>
        <v>0</v>
      </c>
      <c r="N74" s="72">
        <f t="shared" si="66"/>
        <v>940610457.04562759</v>
      </c>
      <c r="O74" s="72">
        <f t="shared" si="66"/>
        <v>4157954581.0103211</v>
      </c>
      <c r="P74" s="72">
        <f t="shared" si="66"/>
        <v>1490435893.2896898</v>
      </c>
      <c r="Q74" s="72">
        <f t="shared" si="66"/>
        <v>1004951888.9608008</v>
      </c>
      <c r="R74" s="72">
        <f t="shared" si="66"/>
        <v>3308717882.3963819</v>
      </c>
    </row>
    <row r="75" spans="1:18">
      <c r="A75" s="65" t="s">
        <v>417</v>
      </c>
      <c r="B75" s="89">
        <v>1</v>
      </c>
      <c r="C75" s="72">
        <f>IFERROR(C18/$B75,0)</f>
        <v>3.0389640779251168E-3</v>
      </c>
      <c r="D75" s="72">
        <f>IFERROR(D18/$B75,0)</f>
        <v>3.2196870989714707E-5</v>
      </c>
      <c r="E75" s="72">
        <f>IFERROR(E18/$B75,0)</f>
        <v>2.3538897106911438E-2</v>
      </c>
      <c r="F75" s="72">
        <f>IFERROR(F18/$B75,0)</f>
        <v>1015941.4669266982</v>
      </c>
      <c r="G75" s="70">
        <f t="shared" si="54"/>
        <v>2.6914830375132062E-3</v>
      </c>
      <c r="H75" s="70">
        <f t="shared" si="55"/>
        <v>3.1859331368105821E-5</v>
      </c>
      <c r="I75" s="72">
        <f t="shared" ref="I75:R75" si="67">IFERROR(I18/$B75,0)</f>
        <v>164632.85106101676</v>
      </c>
      <c r="J75" s="72">
        <f t="shared" si="67"/>
        <v>848449.16417111049</v>
      </c>
      <c r="K75" s="72">
        <f t="shared" si="67"/>
        <v>295947.14893111348</v>
      </c>
      <c r="L75" s="72">
        <f t="shared" si="67"/>
        <v>188330.00386525405</v>
      </c>
      <c r="M75" s="72">
        <f t="shared" si="67"/>
        <v>861697.59705402725</v>
      </c>
      <c r="N75" s="72">
        <f t="shared" si="67"/>
        <v>194102.13140093876</v>
      </c>
      <c r="O75" s="72">
        <f t="shared" si="67"/>
        <v>1000321.5645577392</v>
      </c>
      <c r="P75" s="72">
        <f t="shared" si="67"/>
        <v>348921.68858978286</v>
      </c>
      <c r="Q75" s="72">
        <f t="shared" si="67"/>
        <v>222041.0745571345</v>
      </c>
      <c r="R75" s="72">
        <f t="shared" si="67"/>
        <v>1015941.4669266982</v>
      </c>
    </row>
    <row r="76" spans="1:18">
      <c r="A76" s="65" t="s">
        <v>418</v>
      </c>
      <c r="B76" s="89">
        <v>1.339E-6</v>
      </c>
      <c r="C76" s="72">
        <f>IFERROR(C27/$B76,0)</f>
        <v>0</v>
      </c>
      <c r="D76" s="72">
        <f>IFERROR(D27/$B76,0)</f>
        <v>0</v>
      </c>
      <c r="E76" s="72">
        <f>IFERROR(E27/$B76,0)</f>
        <v>0</v>
      </c>
      <c r="F76" s="72">
        <f>IFERROR(F27/$B76,0)</f>
        <v>114305626.6390409</v>
      </c>
      <c r="G76" s="70">
        <f t="shared" si="54"/>
        <v>114305626.6390409</v>
      </c>
      <c r="H76" s="70">
        <f t="shared" si="55"/>
        <v>114305626.6390409</v>
      </c>
      <c r="I76" s="72">
        <f t="shared" ref="I76:R76" si="68">IFERROR(I27/$B76,0)</f>
        <v>479423483.14135247</v>
      </c>
      <c r="J76" s="72">
        <f t="shared" si="68"/>
        <v>807698676.03124428</v>
      </c>
      <c r="K76" s="72">
        <f t="shared" si="68"/>
        <v>579373961.95880771</v>
      </c>
      <c r="L76" s="72">
        <f t="shared" si="68"/>
        <v>491642672.36684424</v>
      </c>
      <c r="M76" s="72">
        <f t="shared" si="68"/>
        <v>85622192.238981932</v>
      </c>
      <c r="N76" s="72">
        <f t="shared" si="68"/>
        <v>640030349.99370563</v>
      </c>
      <c r="O76" s="72">
        <f t="shared" si="68"/>
        <v>1078277732.5017109</v>
      </c>
      <c r="P76" s="72">
        <f t="shared" si="68"/>
        <v>773464239.21500814</v>
      </c>
      <c r="Q76" s="72">
        <f t="shared" si="68"/>
        <v>656342967.60973716</v>
      </c>
      <c r="R76" s="72">
        <f t="shared" si="68"/>
        <v>114305626.6390409</v>
      </c>
    </row>
  </sheetData>
  <sheetProtection algorithmName="SHA-512" hashValue="vitckgCW96MqH148iXaFcauYdG64891ZL85aHNnsALR4xNbfybwqZxp3X82/B19ZEQ2AzueDrHF3MBMt10UOFw==" saltValue="6eO14tUwZrUvM1+VAsUhiw==" spinCount="100000" sheet="1" objects="1" scenarios="1"/>
  <autoFilter ref="A1:R76" xr:uid="{00000000-0009-0000-0000-000006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499984740745262"/>
  </sheetPr>
  <dimension ref="A1:R76"/>
  <sheetViews>
    <sheetView workbookViewId="0">
      <pane xSplit="2" ySplit="1" topLeftCell="C2" activePane="bottomRight" state="frozen"/>
      <selection activeCell="C2" sqref="C2"/>
      <selection pane="topRight" activeCell="C2" sqref="C2"/>
      <selection pane="bottomLeft" activeCell="C2" sqref="C2"/>
      <selection pane="bottomRight" activeCell="C2" sqref="C2"/>
    </sheetView>
  </sheetViews>
  <sheetFormatPr defaultRowHeight="14.25"/>
  <cols>
    <col min="1" max="1" width="12.59765625" style="4" bestFit="1" customWidth="1"/>
    <col min="2" max="2" width="12" style="77" bestFit="1" customWidth="1"/>
    <col min="3" max="3" width="14.86328125" style="4" bestFit="1" customWidth="1"/>
    <col min="4" max="4" width="17.86328125" style="4" bestFit="1" customWidth="1"/>
    <col min="5" max="5" width="17.73046875" style="4" bestFit="1" customWidth="1"/>
    <col min="6" max="6" width="15" style="4" bestFit="1" customWidth="1"/>
    <col min="7" max="7" width="16.3984375" style="4" bestFit="1" customWidth="1"/>
    <col min="8" max="8" width="16.59765625" style="4" bestFit="1" customWidth="1"/>
    <col min="9" max="9" width="12.3984375" style="4" bestFit="1" customWidth="1"/>
    <col min="10" max="11" width="14.1328125" style="4" bestFit="1" customWidth="1"/>
    <col min="12" max="12" width="15.1328125" style="4" bestFit="1" customWidth="1"/>
    <col min="13" max="13" width="12.73046875" style="4" bestFit="1" customWidth="1"/>
    <col min="14" max="14" width="12.3984375" style="4" bestFit="1" customWidth="1"/>
    <col min="15" max="16" width="14.1328125" style="4" bestFit="1" customWidth="1"/>
    <col min="17" max="17" width="15.1328125" style="4" bestFit="1" customWidth="1"/>
    <col min="18" max="18" width="12.73046875" style="4" bestFit="1" customWidth="1"/>
    <col min="19" max="249" width="9.1328125" style="4"/>
    <col min="250" max="250" width="15.3984375" style="4" bestFit="1" customWidth="1"/>
    <col min="251" max="251" width="11.1328125" style="4" bestFit="1" customWidth="1"/>
    <col min="252" max="252" width="14.59765625" style="4" bestFit="1" customWidth="1"/>
    <col min="253" max="253" width="17.3984375" style="4" bestFit="1" customWidth="1"/>
    <col min="254" max="254" width="17.59765625" style="4" bestFit="1" customWidth="1"/>
    <col min="255" max="255" width="14.73046875" style="4" bestFit="1" customWidth="1"/>
    <col min="256" max="256" width="14.3984375" style="4" bestFit="1" customWidth="1"/>
    <col min="257" max="257" width="12.1328125" style="4" bestFit="1" customWidth="1"/>
    <col min="258" max="258" width="12.3984375" style="4" bestFit="1" customWidth="1"/>
    <col min="259" max="260" width="13.86328125" style="4" bestFit="1" customWidth="1"/>
    <col min="261" max="261" width="14.86328125" style="4" bestFit="1" customWidth="1"/>
    <col min="262" max="262" width="12.1328125" style="4" bestFit="1" customWidth="1"/>
    <col min="263" max="263" width="12.3984375" style="4" bestFit="1" customWidth="1"/>
    <col min="264" max="265" width="13.86328125" style="4" bestFit="1" customWidth="1"/>
    <col min="266" max="266" width="14.86328125" style="4" bestFit="1" customWidth="1"/>
    <col min="267" max="505" width="9.1328125" style="4"/>
    <col min="506" max="506" width="15.3984375" style="4" bestFit="1" customWidth="1"/>
    <col min="507" max="507" width="11.1328125" style="4" bestFit="1" customWidth="1"/>
    <col min="508" max="508" width="14.59765625" style="4" bestFit="1" customWidth="1"/>
    <col min="509" max="509" width="17.3984375" style="4" bestFit="1" customWidth="1"/>
    <col min="510" max="510" width="17.59765625" style="4" bestFit="1" customWidth="1"/>
    <col min="511" max="511" width="14.73046875" style="4" bestFit="1" customWidth="1"/>
    <col min="512" max="512" width="14.3984375" style="4" bestFit="1" customWidth="1"/>
    <col min="513" max="513" width="12.1328125" style="4" bestFit="1" customWidth="1"/>
    <col min="514" max="514" width="12.3984375" style="4" bestFit="1" customWidth="1"/>
    <col min="515" max="516" width="13.86328125" style="4" bestFit="1" customWidth="1"/>
    <col min="517" max="517" width="14.86328125" style="4" bestFit="1" customWidth="1"/>
    <col min="518" max="518" width="12.1328125" style="4" bestFit="1" customWidth="1"/>
    <col min="519" max="519" width="12.3984375" style="4" bestFit="1" customWidth="1"/>
    <col min="520" max="521" width="13.86328125" style="4" bestFit="1" customWidth="1"/>
    <col min="522" max="522" width="14.86328125" style="4" bestFit="1" customWidth="1"/>
    <col min="523" max="761" width="9.1328125" style="4"/>
    <col min="762" max="762" width="15.3984375" style="4" bestFit="1" customWidth="1"/>
    <col min="763" max="763" width="11.1328125" style="4" bestFit="1" customWidth="1"/>
    <col min="764" max="764" width="14.59765625" style="4" bestFit="1" customWidth="1"/>
    <col min="765" max="765" width="17.3984375" style="4" bestFit="1" customWidth="1"/>
    <col min="766" max="766" width="17.59765625" style="4" bestFit="1" customWidth="1"/>
    <col min="767" max="767" width="14.73046875" style="4" bestFit="1" customWidth="1"/>
    <col min="768" max="768" width="14.3984375" style="4" bestFit="1" customWidth="1"/>
    <col min="769" max="769" width="12.1328125" style="4" bestFit="1" customWidth="1"/>
    <col min="770" max="770" width="12.3984375" style="4" bestFit="1" customWidth="1"/>
    <col min="771" max="772" width="13.86328125" style="4" bestFit="1" customWidth="1"/>
    <col min="773" max="773" width="14.86328125" style="4" bestFit="1" customWidth="1"/>
    <col min="774" max="774" width="12.1328125" style="4" bestFit="1" customWidth="1"/>
    <col min="775" max="775" width="12.3984375" style="4" bestFit="1" customWidth="1"/>
    <col min="776" max="777" width="13.86328125" style="4" bestFit="1" customWidth="1"/>
    <col min="778" max="778" width="14.86328125" style="4" bestFit="1" customWidth="1"/>
    <col min="779" max="1017" width="9.1328125" style="4"/>
    <col min="1018" max="1018" width="15.3984375" style="4" bestFit="1" customWidth="1"/>
    <col min="1019" max="1019" width="11.1328125" style="4" bestFit="1" customWidth="1"/>
    <col min="1020" max="1020" width="14.59765625" style="4" bestFit="1" customWidth="1"/>
    <col min="1021" max="1021" width="17.3984375" style="4" bestFit="1" customWidth="1"/>
    <col min="1022" max="1022" width="17.59765625" style="4" bestFit="1" customWidth="1"/>
    <col min="1023" max="1023" width="14.73046875" style="4" bestFit="1" customWidth="1"/>
    <col min="1024" max="1024" width="14.3984375" style="4" bestFit="1" customWidth="1"/>
    <col min="1025" max="1025" width="12.1328125" style="4" bestFit="1" customWidth="1"/>
    <col min="1026" max="1026" width="12.3984375" style="4" bestFit="1" customWidth="1"/>
    <col min="1027" max="1028" width="13.86328125" style="4" bestFit="1" customWidth="1"/>
    <col min="1029" max="1029" width="14.86328125" style="4" bestFit="1" customWidth="1"/>
    <col min="1030" max="1030" width="12.1328125" style="4" bestFit="1" customWidth="1"/>
    <col min="1031" max="1031" width="12.3984375" style="4" bestFit="1" customWidth="1"/>
    <col min="1032" max="1033" width="13.86328125" style="4" bestFit="1" customWidth="1"/>
    <col min="1034" max="1034" width="14.86328125" style="4" bestFit="1" customWidth="1"/>
    <col min="1035" max="1273" width="9.1328125" style="4"/>
    <col min="1274" max="1274" width="15.3984375" style="4" bestFit="1" customWidth="1"/>
    <col min="1275" max="1275" width="11.1328125" style="4" bestFit="1" customWidth="1"/>
    <col min="1276" max="1276" width="14.59765625" style="4" bestFit="1" customWidth="1"/>
    <col min="1277" max="1277" width="17.3984375" style="4" bestFit="1" customWidth="1"/>
    <col min="1278" max="1278" width="17.59765625" style="4" bestFit="1" customWidth="1"/>
    <col min="1279" max="1279" width="14.73046875" style="4" bestFit="1" customWidth="1"/>
    <col min="1280" max="1280" width="14.3984375" style="4" bestFit="1" customWidth="1"/>
    <col min="1281" max="1281" width="12.1328125" style="4" bestFit="1" customWidth="1"/>
    <col min="1282" max="1282" width="12.3984375" style="4" bestFit="1" customWidth="1"/>
    <col min="1283" max="1284" width="13.86328125" style="4" bestFit="1" customWidth="1"/>
    <col min="1285" max="1285" width="14.86328125" style="4" bestFit="1" customWidth="1"/>
    <col min="1286" max="1286" width="12.1328125" style="4" bestFit="1" customWidth="1"/>
    <col min="1287" max="1287" width="12.3984375" style="4" bestFit="1" customWidth="1"/>
    <col min="1288" max="1289" width="13.86328125" style="4" bestFit="1" customWidth="1"/>
    <col min="1290" max="1290" width="14.86328125" style="4" bestFit="1" customWidth="1"/>
    <col min="1291" max="1529" width="9.1328125" style="4"/>
    <col min="1530" max="1530" width="15.3984375" style="4" bestFit="1" customWidth="1"/>
    <col min="1531" max="1531" width="11.1328125" style="4" bestFit="1" customWidth="1"/>
    <col min="1532" max="1532" width="14.59765625" style="4" bestFit="1" customWidth="1"/>
    <col min="1533" max="1533" width="17.3984375" style="4" bestFit="1" customWidth="1"/>
    <col min="1534" max="1534" width="17.59765625" style="4" bestFit="1" customWidth="1"/>
    <col min="1535" max="1535" width="14.73046875" style="4" bestFit="1" customWidth="1"/>
    <col min="1536" max="1536" width="14.3984375" style="4" bestFit="1" customWidth="1"/>
    <col min="1537" max="1537" width="12.1328125" style="4" bestFit="1" customWidth="1"/>
    <col min="1538" max="1538" width="12.3984375" style="4" bestFit="1" customWidth="1"/>
    <col min="1539" max="1540" width="13.86328125" style="4" bestFit="1" customWidth="1"/>
    <col min="1541" max="1541" width="14.86328125" style="4" bestFit="1" customWidth="1"/>
    <col min="1542" max="1542" width="12.1328125" style="4" bestFit="1" customWidth="1"/>
    <col min="1543" max="1543" width="12.3984375" style="4" bestFit="1" customWidth="1"/>
    <col min="1544" max="1545" width="13.86328125" style="4" bestFit="1" customWidth="1"/>
    <col min="1546" max="1546" width="14.86328125" style="4" bestFit="1" customWidth="1"/>
    <col min="1547" max="1785" width="9.1328125" style="4"/>
    <col min="1786" max="1786" width="15.3984375" style="4" bestFit="1" customWidth="1"/>
    <col min="1787" max="1787" width="11.1328125" style="4" bestFit="1" customWidth="1"/>
    <col min="1788" max="1788" width="14.59765625" style="4" bestFit="1" customWidth="1"/>
    <col min="1789" max="1789" width="17.3984375" style="4" bestFit="1" customWidth="1"/>
    <col min="1790" max="1790" width="17.59765625" style="4" bestFit="1" customWidth="1"/>
    <col min="1791" max="1791" width="14.73046875" style="4" bestFit="1" customWidth="1"/>
    <col min="1792" max="1792" width="14.3984375" style="4" bestFit="1" customWidth="1"/>
    <col min="1793" max="1793" width="12.1328125" style="4" bestFit="1" customWidth="1"/>
    <col min="1794" max="1794" width="12.3984375" style="4" bestFit="1" customWidth="1"/>
    <col min="1795" max="1796" width="13.86328125" style="4" bestFit="1" customWidth="1"/>
    <col min="1797" max="1797" width="14.86328125" style="4" bestFit="1" customWidth="1"/>
    <col min="1798" max="1798" width="12.1328125" style="4" bestFit="1" customWidth="1"/>
    <col min="1799" max="1799" width="12.3984375" style="4" bestFit="1" customWidth="1"/>
    <col min="1800" max="1801" width="13.86328125" style="4" bestFit="1" customWidth="1"/>
    <col min="1802" max="1802" width="14.86328125" style="4" bestFit="1" customWidth="1"/>
    <col min="1803" max="2041" width="9.1328125" style="4"/>
    <col min="2042" max="2042" width="15.3984375" style="4" bestFit="1" customWidth="1"/>
    <col min="2043" max="2043" width="11.1328125" style="4" bestFit="1" customWidth="1"/>
    <col min="2044" max="2044" width="14.59765625" style="4" bestFit="1" customWidth="1"/>
    <col min="2045" max="2045" width="17.3984375" style="4" bestFit="1" customWidth="1"/>
    <col min="2046" max="2046" width="17.59765625" style="4" bestFit="1" customWidth="1"/>
    <col min="2047" max="2047" width="14.73046875" style="4" bestFit="1" customWidth="1"/>
    <col min="2048" max="2048" width="14.3984375" style="4" bestFit="1" customWidth="1"/>
    <col min="2049" max="2049" width="12.1328125" style="4" bestFit="1" customWidth="1"/>
    <col min="2050" max="2050" width="12.3984375" style="4" bestFit="1" customWidth="1"/>
    <col min="2051" max="2052" width="13.86328125" style="4" bestFit="1" customWidth="1"/>
    <col min="2053" max="2053" width="14.86328125" style="4" bestFit="1" customWidth="1"/>
    <col min="2054" max="2054" width="12.1328125" style="4" bestFit="1" customWidth="1"/>
    <col min="2055" max="2055" width="12.3984375" style="4" bestFit="1" customWidth="1"/>
    <col min="2056" max="2057" width="13.86328125" style="4" bestFit="1" customWidth="1"/>
    <col min="2058" max="2058" width="14.86328125" style="4" bestFit="1" customWidth="1"/>
    <col min="2059" max="2297" width="9.1328125" style="4"/>
    <col min="2298" max="2298" width="15.3984375" style="4" bestFit="1" customWidth="1"/>
    <col min="2299" max="2299" width="11.1328125" style="4" bestFit="1" customWidth="1"/>
    <col min="2300" max="2300" width="14.59765625" style="4" bestFit="1" customWidth="1"/>
    <col min="2301" max="2301" width="17.3984375" style="4" bestFit="1" customWidth="1"/>
    <col min="2302" max="2302" width="17.59765625" style="4" bestFit="1" customWidth="1"/>
    <col min="2303" max="2303" width="14.73046875" style="4" bestFit="1" customWidth="1"/>
    <col min="2304" max="2304" width="14.3984375" style="4" bestFit="1" customWidth="1"/>
    <col min="2305" max="2305" width="12.1328125" style="4" bestFit="1" customWidth="1"/>
    <col min="2306" max="2306" width="12.3984375" style="4" bestFit="1" customWidth="1"/>
    <col min="2307" max="2308" width="13.86328125" style="4" bestFit="1" customWidth="1"/>
    <col min="2309" max="2309" width="14.86328125" style="4" bestFit="1" customWidth="1"/>
    <col min="2310" max="2310" width="12.1328125" style="4" bestFit="1" customWidth="1"/>
    <col min="2311" max="2311" width="12.3984375" style="4" bestFit="1" customWidth="1"/>
    <col min="2312" max="2313" width="13.86328125" style="4" bestFit="1" customWidth="1"/>
    <col min="2314" max="2314" width="14.86328125" style="4" bestFit="1" customWidth="1"/>
    <col min="2315" max="2553" width="9.1328125" style="4"/>
    <col min="2554" max="2554" width="15.3984375" style="4" bestFit="1" customWidth="1"/>
    <col min="2555" max="2555" width="11.1328125" style="4" bestFit="1" customWidth="1"/>
    <col min="2556" max="2556" width="14.59765625" style="4" bestFit="1" customWidth="1"/>
    <col min="2557" max="2557" width="17.3984375" style="4" bestFit="1" customWidth="1"/>
    <col min="2558" max="2558" width="17.59765625" style="4" bestFit="1" customWidth="1"/>
    <col min="2559" max="2559" width="14.73046875" style="4" bestFit="1" customWidth="1"/>
    <col min="2560" max="2560" width="14.3984375" style="4" bestFit="1" customWidth="1"/>
    <col min="2561" max="2561" width="12.1328125" style="4" bestFit="1" customWidth="1"/>
    <col min="2562" max="2562" width="12.3984375" style="4" bestFit="1" customWidth="1"/>
    <col min="2563" max="2564" width="13.86328125" style="4" bestFit="1" customWidth="1"/>
    <col min="2565" max="2565" width="14.86328125" style="4" bestFit="1" customWidth="1"/>
    <col min="2566" max="2566" width="12.1328125" style="4" bestFit="1" customWidth="1"/>
    <col min="2567" max="2567" width="12.3984375" style="4" bestFit="1" customWidth="1"/>
    <col min="2568" max="2569" width="13.86328125" style="4" bestFit="1" customWidth="1"/>
    <col min="2570" max="2570" width="14.86328125" style="4" bestFit="1" customWidth="1"/>
    <col min="2571" max="2809" width="9.1328125" style="4"/>
    <col min="2810" max="2810" width="15.3984375" style="4" bestFit="1" customWidth="1"/>
    <col min="2811" max="2811" width="11.1328125" style="4" bestFit="1" customWidth="1"/>
    <col min="2812" max="2812" width="14.59765625" style="4" bestFit="1" customWidth="1"/>
    <col min="2813" max="2813" width="17.3984375" style="4" bestFit="1" customWidth="1"/>
    <col min="2814" max="2814" width="17.59765625" style="4" bestFit="1" customWidth="1"/>
    <col min="2815" max="2815" width="14.73046875" style="4" bestFit="1" customWidth="1"/>
    <col min="2816" max="2816" width="14.3984375" style="4" bestFit="1" customWidth="1"/>
    <col min="2817" max="2817" width="12.1328125" style="4" bestFit="1" customWidth="1"/>
    <col min="2818" max="2818" width="12.3984375" style="4" bestFit="1" customWidth="1"/>
    <col min="2819" max="2820" width="13.86328125" style="4" bestFit="1" customWidth="1"/>
    <col min="2821" max="2821" width="14.86328125" style="4" bestFit="1" customWidth="1"/>
    <col min="2822" max="2822" width="12.1328125" style="4" bestFit="1" customWidth="1"/>
    <col min="2823" max="2823" width="12.3984375" style="4" bestFit="1" customWidth="1"/>
    <col min="2824" max="2825" width="13.86328125" style="4" bestFit="1" customWidth="1"/>
    <col min="2826" max="2826" width="14.86328125" style="4" bestFit="1" customWidth="1"/>
    <col min="2827" max="3065" width="9.1328125" style="4"/>
    <col min="3066" max="3066" width="15.3984375" style="4" bestFit="1" customWidth="1"/>
    <col min="3067" max="3067" width="11.1328125" style="4" bestFit="1" customWidth="1"/>
    <col min="3068" max="3068" width="14.59765625" style="4" bestFit="1" customWidth="1"/>
    <col min="3069" max="3069" width="17.3984375" style="4" bestFit="1" customWidth="1"/>
    <col min="3070" max="3070" width="17.59765625" style="4" bestFit="1" customWidth="1"/>
    <col min="3071" max="3071" width="14.73046875" style="4" bestFit="1" customWidth="1"/>
    <col min="3072" max="3072" width="14.3984375" style="4" bestFit="1" customWidth="1"/>
    <col min="3073" max="3073" width="12.1328125" style="4" bestFit="1" customWidth="1"/>
    <col min="3074" max="3074" width="12.3984375" style="4" bestFit="1" customWidth="1"/>
    <col min="3075" max="3076" width="13.86328125" style="4" bestFit="1" customWidth="1"/>
    <col min="3077" max="3077" width="14.86328125" style="4" bestFit="1" customWidth="1"/>
    <col min="3078" max="3078" width="12.1328125" style="4" bestFit="1" customWidth="1"/>
    <col min="3079" max="3079" width="12.3984375" style="4" bestFit="1" customWidth="1"/>
    <col min="3080" max="3081" width="13.86328125" style="4" bestFit="1" customWidth="1"/>
    <col min="3082" max="3082" width="14.86328125" style="4" bestFit="1" customWidth="1"/>
    <col min="3083" max="3321" width="9.1328125" style="4"/>
    <col min="3322" max="3322" width="15.3984375" style="4" bestFit="1" customWidth="1"/>
    <col min="3323" max="3323" width="11.1328125" style="4" bestFit="1" customWidth="1"/>
    <col min="3324" max="3324" width="14.59765625" style="4" bestFit="1" customWidth="1"/>
    <col min="3325" max="3325" width="17.3984375" style="4" bestFit="1" customWidth="1"/>
    <col min="3326" max="3326" width="17.59765625" style="4" bestFit="1" customWidth="1"/>
    <col min="3327" max="3327" width="14.73046875" style="4" bestFit="1" customWidth="1"/>
    <col min="3328" max="3328" width="14.3984375" style="4" bestFit="1" customWidth="1"/>
    <col min="3329" max="3329" width="12.1328125" style="4" bestFit="1" customWidth="1"/>
    <col min="3330" max="3330" width="12.3984375" style="4" bestFit="1" customWidth="1"/>
    <col min="3331" max="3332" width="13.86328125" style="4" bestFit="1" customWidth="1"/>
    <col min="3333" max="3333" width="14.86328125" style="4" bestFit="1" customWidth="1"/>
    <col min="3334" max="3334" width="12.1328125" style="4" bestFit="1" customWidth="1"/>
    <col min="3335" max="3335" width="12.3984375" style="4" bestFit="1" customWidth="1"/>
    <col min="3336" max="3337" width="13.86328125" style="4" bestFit="1" customWidth="1"/>
    <col min="3338" max="3338" width="14.86328125" style="4" bestFit="1" customWidth="1"/>
    <col min="3339" max="3577" width="9.1328125" style="4"/>
    <col min="3578" max="3578" width="15.3984375" style="4" bestFit="1" customWidth="1"/>
    <col min="3579" max="3579" width="11.1328125" style="4" bestFit="1" customWidth="1"/>
    <col min="3580" max="3580" width="14.59765625" style="4" bestFit="1" customWidth="1"/>
    <col min="3581" max="3581" width="17.3984375" style="4" bestFit="1" customWidth="1"/>
    <col min="3582" max="3582" width="17.59765625" style="4" bestFit="1" customWidth="1"/>
    <col min="3583" max="3583" width="14.73046875" style="4" bestFit="1" customWidth="1"/>
    <col min="3584" max="3584" width="14.3984375" style="4" bestFit="1" customWidth="1"/>
    <col min="3585" max="3585" width="12.1328125" style="4" bestFit="1" customWidth="1"/>
    <col min="3586" max="3586" width="12.3984375" style="4" bestFit="1" customWidth="1"/>
    <col min="3587" max="3588" width="13.86328125" style="4" bestFit="1" customWidth="1"/>
    <col min="3589" max="3589" width="14.86328125" style="4" bestFit="1" customWidth="1"/>
    <col min="3590" max="3590" width="12.1328125" style="4" bestFit="1" customWidth="1"/>
    <col min="3591" max="3591" width="12.3984375" style="4" bestFit="1" customWidth="1"/>
    <col min="3592" max="3593" width="13.86328125" style="4" bestFit="1" customWidth="1"/>
    <col min="3594" max="3594" width="14.86328125" style="4" bestFit="1" customWidth="1"/>
    <col min="3595" max="3833" width="9.1328125" style="4"/>
    <col min="3834" max="3834" width="15.3984375" style="4" bestFit="1" customWidth="1"/>
    <col min="3835" max="3835" width="11.1328125" style="4" bestFit="1" customWidth="1"/>
    <col min="3836" max="3836" width="14.59765625" style="4" bestFit="1" customWidth="1"/>
    <col min="3837" max="3837" width="17.3984375" style="4" bestFit="1" customWidth="1"/>
    <col min="3838" max="3838" width="17.59765625" style="4" bestFit="1" customWidth="1"/>
    <col min="3839" max="3839" width="14.73046875" style="4" bestFit="1" customWidth="1"/>
    <col min="3840" max="3840" width="14.3984375" style="4" bestFit="1" customWidth="1"/>
    <col min="3841" max="3841" width="12.1328125" style="4" bestFit="1" customWidth="1"/>
    <col min="3842" max="3842" width="12.3984375" style="4" bestFit="1" customWidth="1"/>
    <col min="3843" max="3844" width="13.86328125" style="4" bestFit="1" customWidth="1"/>
    <col min="3845" max="3845" width="14.86328125" style="4" bestFit="1" customWidth="1"/>
    <col min="3846" max="3846" width="12.1328125" style="4" bestFit="1" customWidth="1"/>
    <col min="3847" max="3847" width="12.3984375" style="4" bestFit="1" customWidth="1"/>
    <col min="3848" max="3849" width="13.86328125" style="4" bestFit="1" customWidth="1"/>
    <col min="3850" max="3850" width="14.86328125" style="4" bestFit="1" customWidth="1"/>
    <col min="3851" max="4089" width="9.1328125" style="4"/>
    <col min="4090" max="4090" width="15.3984375" style="4" bestFit="1" customWidth="1"/>
    <col min="4091" max="4091" width="11.1328125" style="4" bestFit="1" customWidth="1"/>
    <col min="4092" max="4092" width="14.59765625" style="4" bestFit="1" customWidth="1"/>
    <col min="4093" max="4093" width="17.3984375" style="4" bestFit="1" customWidth="1"/>
    <col min="4094" max="4094" width="17.59765625" style="4" bestFit="1" customWidth="1"/>
    <col min="4095" max="4095" width="14.73046875" style="4" bestFit="1" customWidth="1"/>
    <col min="4096" max="4096" width="14.3984375" style="4" bestFit="1" customWidth="1"/>
    <col min="4097" max="4097" width="12.1328125" style="4" bestFit="1" customWidth="1"/>
    <col min="4098" max="4098" width="12.3984375" style="4" bestFit="1" customWidth="1"/>
    <col min="4099" max="4100" width="13.86328125" style="4" bestFit="1" customWidth="1"/>
    <col min="4101" max="4101" width="14.86328125" style="4" bestFit="1" customWidth="1"/>
    <col min="4102" max="4102" width="12.1328125" style="4" bestFit="1" customWidth="1"/>
    <col min="4103" max="4103" width="12.3984375" style="4" bestFit="1" customWidth="1"/>
    <col min="4104" max="4105" width="13.86328125" style="4" bestFit="1" customWidth="1"/>
    <col min="4106" max="4106" width="14.86328125" style="4" bestFit="1" customWidth="1"/>
    <col min="4107" max="4345" width="9.1328125" style="4"/>
    <col min="4346" max="4346" width="15.3984375" style="4" bestFit="1" customWidth="1"/>
    <col min="4347" max="4347" width="11.1328125" style="4" bestFit="1" customWidth="1"/>
    <col min="4348" max="4348" width="14.59765625" style="4" bestFit="1" customWidth="1"/>
    <col min="4349" max="4349" width="17.3984375" style="4" bestFit="1" customWidth="1"/>
    <col min="4350" max="4350" width="17.59765625" style="4" bestFit="1" customWidth="1"/>
    <col min="4351" max="4351" width="14.73046875" style="4" bestFit="1" customWidth="1"/>
    <col min="4352" max="4352" width="14.3984375" style="4" bestFit="1" customWidth="1"/>
    <col min="4353" max="4353" width="12.1328125" style="4" bestFit="1" customWidth="1"/>
    <col min="4354" max="4354" width="12.3984375" style="4" bestFit="1" customWidth="1"/>
    <col min="4355" max="4356" width="13.86328125" style="4" bestFit="1" customWidth="1"/>
    <col min="4357" max="4357" width="14.86328125" style="4" bestFit="1" customWidth="1"/>
    <col min="4358" max="4358" width="12.1328125" style="4" bestFit="1" customWidth="1"/>
    <col min="4359" max="4359" width="12.3984375" style="4" bestFit="1" customWidth="1"/>
    <col min="4360" max="4361" width="13.86328125" style="4" bestFit="1" customWidth="1"/>
    <col min="4362" max="4362" width="14.86328125" style="4" bestFit="1" customWidth="1"/>
    <col min="4363" max="4601" width="9.1328125" style="4"/>
    <col min="4602" max="4602" width="15.3984375" style="4" bestFit="1" customWidth="1"/>
    <col min="4603" max="4603" width="11.1328125" style="4" bestFit="1" customWidth="1"/>
    <col min="4604" max="4604" width="14.59765625" style="4" bestFit="1" customWidth="1"/>
    <col min="4605" max="4605" width="17.3984375" style="4" bestFit="1" customWidth="1"/>
    <col min="4606" max="4606" width="17.59765625" style="4" bestFit="1" customWidth="1"/>
    <col min="4607" max="4607" width="14.73046875" style="4" bestFit="1" customWidth="1"/>
    <col min="4608" max="4608" width="14.3984375" style="4" bestFit="1" customWidth="1"/>
    <col min="4609" max="4609" width="12.1328125" style="4" bestFit="1" customWidth="1"/>
    <col min="4610" max="4610" width="12.3984375" style="4" bestFit="1" customWidth="1"/>
    <col min="4611" max="4612" width="13.86328125" style="4" bestFit="1" customWidth="1"/>
    <col min="4613" max="4613" width="14.86328125" style="4" bestFit="1" customWidth="1"/>
    <col min="4614" max="4614" width="12.1328125" style="4" bestFit="1" customWidth="1"/>
    <col min="4615" max="4615" width="12.3984375" style="4" bestFit="1" customWidth="1"/>
    <col min="4616" max="4617" width="13.86328125" style="4" bestFit="1" customWidth="1"/>
    <col min="4618" max="4618" width="14.86328125" style="4" bestFit="1" customWidth="1"/>
    <col min="4619" max="4857" width="9.1328125" style="4"/>
    <col min="4858" max="4858" width="15.3984375" style="4" bestFit="1" customWidth="1"/>
    <col min="4859" max="4859" width="11.1328125" style="4" bestFit="1" customWidth="1"/>
    <col min="4860" max="4860" width="14.59765625" style="4" bestFit="1" customWidth="1"/>
    <col min="4861" max="4861" width="17.3984375" style="4" bestFit="1" customWidth="1"/>
    <col min="4862" max="4862" width="17.59765625" style="4" bestFit="1" customWidth="1"/>
    <col min="4863" max="4863" width="14.73046875" style="4" bestFit="1" customWidth="1"/>
    <col min="4864" max="4864" width="14.3984375" style="4" bestFit="1" customWidth="1"/>
    <col min="4865" max="4865" width="12.1328125" style="4" bestFit="1" customWidth="1"/>
    <col min="4866" max="4866" width="12.3984375" style="4" bestFit="1" customWidth="1"/>
    <col min="4867" max="4868" width="13.86328125" style="4" bestFit="1" customWidth="1"/>
    <col min="4869" max="4869" width="14.86328125" style="4" bestFit="1" customWidth="1"/>
    <col min="4870" max="4870" width="12.1328125" style="4" bestFit="1" customWidth="1"/>
    <col min="4871" max="4871" width="12.3984375" style="4" bestFit="1" customWidth="1"/>
    <col min="4872" max="4873" width="13.86328125" style="4" bestFit="1" customWidth="1"/>
    <col min="4874" max="4874" width="14.86328125" style="4" bestFit="1" customWidth="1"/>
    <col min="4875" max="5113" width="9.1328125" style="4"/>
    <col min="5114" max="5114" width="15.3984375" style="4" bestFit="1" customWidth="1"/>
    <col min="5115" max="5115" width="11.1328125" style="4" bestFit="1" customWidth="1"/>
    <col min="5116" max="5116" width="14.59765625" style="4" bestFit="1" customWidth="1"/>
    <col min="5117" max="5117" width="17.3984375" style="4" bestFit="1" customWidth="1"/>
    <col min="5118" max="5118" width="17.59765625" style="4" bestFit="1" customWidth="1"/>
    <col min="5119" max="5119" width="14.73046875" style="4" bestFit="1" customWidth="1"/>
    <col min="5120" max="5120" width="14.3984375" style="4" bestFit="1" customWidth="1"/>
    <col min="5121" max="5121" width="12.1328125" style="4" bestFit="1" customWidth="1"/>
    <col min="5122" max="5122" width="12.3984375" style="4" bestFit="1" customWidth="1"/>
    <col min="5123" max="5124" width="13.86328125" style="4" bestFit="1" customWidth="1"/>
    <col min="5125" max="5125" width="14.86328125" style="4" bestFit="1" customWidth="1"/>
    <col min="5126" max="5126" width="12.1328125" style="4" bestFit="1" customWidth="1"/>
    <col min="5127" max="5127" width="12.3984375" style="4" bestFit="1" customWidth="1"/>
    <col min="5128" max="5129" width="13.86328125" style="4" bestFit="1" customWidth="1"/>
    <col min="5130" max="5130" width="14.86328125" style="4" bestFit="1" customWidth="1"/>
    <col min="5131" max="5369" width="9.1328125" style="4"/>
    <col min="5370" max="5370" width="15.3984375" style="4" bestFit="1" customWidth="1"/>
    <col min="5371" max="5371" width="11.1328125" style="4" bestFit="1" customWidth="1"/>
    <col min="5372" max="5372" width="14.59765625" style="4" bestFit="1" customWidth="1"/>
    <col min="5373" max="5373" width="17.3984375" style="4" bestFit="1" customWidth="1"/>
    <col min="5374" max="5374" width="17.59765625" style="4" bestFit="1" customWidth="1"/>
    <col min="5375" max="5375" width="14.73046875" style="4" bestFit="1" customWidth="1"/>
    <col min="5376" max="5376" width="14.3984375" style="4" bestFit="1" customWidth="1"/>
    <col min="5377" max="5377" width="12.1328125" style="4" bestFit="1" customWidth="1"/>
    <col min="5378" max="5378" width="12.3984375" style="4" bestFit="1" customWidth="1"/>
    <col min="5379" max="5380" width="13.86328125" style="4" bestFit="1" customWidth="1"/>
    <col min="5381" max="5381" width="14.86328125" style="4" bestFit="1" customWidth="1"/>
    <col min="5382" max="5382" width="12.1328125" style="4" bestFit="1" customWidth="1"/>
    <col min="5383" max="5383" width="12.3984375" style="4" bestFit="1" customWidth="1"/>
    <col min="5384" max="5385" width="13.86328125" style="4" bestFit="1" customWidth="1"/>
    <col min="5386" max="5386" width="14.86328125" style="4" bestFit="1" customWidth="1"/>
    <col min="5387" max="5625" width="9.1328125" style="4"/>
    <col min="5626" max="5626" width="15.3984375" style="4" bestFit="1" customWidth="1"/>
    <col min="5627" max="5627" width="11.1328125" style="4" bestFit="1" customWidth="1"/>
    <col min="5628" max="5628" width="14.59765625" style="4" bestFit="1" customWidth="1"/>
    <col min="5629" max="5629" width="17.3984375" style="4" bestFit="1" customWidth="1"/>
    <col min="5630" max="5630" width="17.59765625" style="4" bestFit="1" customWidth="1"/>
    <col min="5631" max="5631" width="14.73046875" style="4" bestFit="1" customWidth="1"/>
    <col min="5632" max="5632" width="14.3984375" style="4" bestFit="1" customWidth="1"/>
    <col min="5633" max="5633" width="12.1328125" style="4" bestFit="1" customWidth="1"/>
    <col min="5634" max="5634" width="12.3984375" style="4" bestFit="1" customWidth="1"/>
    <col min="5635" max="5636" width="13.86328125" style="4" bestFit="1" customWidth="1"/>
    <col min="5637" max="5637" width="14.86328125" style="4" bestFit="1" customWidth="1"/>
    <col min="5638" max="5638" width="12.1328125" style="4" bestFit="1" customWidth="1"/>
    <col min="5639" max="5639" width="12.3984375" style="4" bestFit="1" customWidth="1"/>
    <col min="5640" max="5641" width="13.86328125" style="4" bestFit="1" customWidth="1"/>
    <col min="5642" max="5642" width="14.86328125" style="4" bestFit="1" customWidth="1"/>
    <col min="5643" max="5881" width="9.1328125" style="4"/>
    <col min="5882" max="5882" width="15.3984375" style="4" bestFit="1" customWidth="1"/>
    <col min="5883" max="5883" width="11.1328125" style="4" bestFit="1" customWidth="1"/>
    <col min="5884" max="5884" width="14.59765625" style="4" bestFit="1" customWidth="1"/>
    <col min="5885" max="5885" width="17.3984375" style="4" bestFit="1" customWidth="1"/>
    <col min="5886" max="5886" width="17.59765625" style="4" bestFit="1" customWidth="1"/>
    <col min="5887" max="5887" width="14.73046875" style="4" bestFit="1" customWidth="1"/>
    <col min="5888" max="5888" width="14.3984375" style="4" bestFit="1" customWidth="1"/>
    <col min="5889" max="5889" width="12.1328125" style="4" bestFit="1" customWidth="1"/>
    <col min="5890" max="5890" width="12.3984375" style="4" bestFit="1" customWidth="1"/>
    <col min="5891" max="5892" width="13.86328125" style="4" bestFit="1" customWidth="1"/>
    <col min="5893" max="5893" width="14.86328125" style="4" bestFit="1" customWidth="1"/>
    <col min="5894" max="5894" width="12.1328125" style="4" bestFit="1" customWidth="1"/>
    <col min="5895" max="5895" width="12.3984375" style="4" bestFit="1" customWidth="1"/>
    <col min="5896" max="5897" width="13.86328125" style="4" bestFit="1" customWidth="1"/>
    <col min="5898" max="5898" width="14.86328125" style="4" bestFit="1" customWidth="1"/>
    <col min="5899" max="6137" width="9.1328125" style="4"/>
    <col min="6138" max="6138" width="15.3984375" style="4" bestFit="1" customWidth="1"/>
    <col min="6139" max="6139" width="11.1328125" style="4" bestFit="1" customWidth="1"/>
    <col min="6140" max="6140" width="14.59765625" style="4" bestFit="1" customWidth="1"/>
    <col min="6141" max="6141" width="17.3984375" style="4" bestFit="1" customWidth="1"/>
    <col min="6142" max="6142" width="17.59765625" style="4" bestFit="1" customWidth="1"/>
    <col min="6143" max="6143" width="14.73046875" style="4" bestFit="1" customWidth="1"/>
    <col min="6144" max="6144" width="14.3984375" style="4" bestFit="1" customWidth="1"/>
    <col min="6145" max="6145" width="12.1328125" style="4" bestFit="1" customWidth="1"/>
    <col min="6146" max="6146" width="12.3984375" style="4" bestFit="1" customWidth="1"/>
    <col min="6147" max="6148" width="13.86328125" style="4" bestFit="1" customWidth="1"/>
    <col min="6149" max="6149" width="14.86328125" style="4" bestFit="1" customWidth="1"/>
    <col min="6150" max="6150" width="12.1328125" style="4" bestFit="1" customWidth="1"/>
    <col min="6151" max="6151" width="12.3984375" style="4" bestFit="1" customWidth="1"/>
    <col min="6152" max="6153" width="13.86328125" style="4" bestFit="1" customWidth="1"/>
    <col min="6154" max="6154" width="14.86328125" style="4" bestFit="1" customWidth="1"/>
    <col min="6155" max="6393" width="9.1328125" style="4"/>
    <col min="6394" max="6394" width="15.3984375" style="4" bestFit="1" customWidth="1"/>
    <col min="6395" max="6395" width="11.1328125" style="4" bestFit="1" customWidth="1"/>
    <col min="6396" max="6396" width="14.59765625" style="4" bestFit="1" customWidth="1"/>
    <col min="6397" max="6397" width="17.3984375" style="4" bestFit="1" customWidth="1"/>
    <col min="6398" max="6398" width="17.59765625" style="4" bestFit="1" customWidth="1"/>
    <col min="6399" max="6399" width="14.73046875" style="4" bestFit="1" customWidth="1"/>
    <col min="6400" max="6400" width="14.3984375" style="4" bestFit="1" customWidth="1"/>
    <col min="6401" max="6401" width="12.1328125" style="4" bestFit="1" customWidth="1"/>
    <col min="6402" max="6402" width="12.3984375" style="4" bestFit="1" customWidth="1"/>
    <col min="6403" max="6404" width="13.86328125" style="4" bestFit="1" customWidth="1"/>
    <col min="6405" max="6405" width="14.86328125" style="4" bestFit="1" customWidth="1"/>
    <col min="6406" max="6406" width="12.1328125" style="4" bestFit="1" customWidth="1"/>
    <col min="6407" max="6407" width="12.3984375" style="4" bestFit="1" customWidth="1"/>
    <col min="6408" max="6409" width="13.86328125" style="4" bestFit="1" customWidth="1"/>
    <col min="6410" max="6410" width="14.86328125" style="4" bestFit="1" customWidth="1"/>
    <col min="6411" max="6649" width="9.1328125" style="4"/>
    <col min="6650" max="6650" width="15.3984375" style="4" bestFit="1" customWidth="1"/>
    <col min="6651" max="6651" width="11.1328125" style="4" bestFit="1" customWidth="1"/>
    <col min="6652" max="6652" width="14.59765625" style="4" bestFit="1" customWidth="1"/>
    <col min="6653" max="6653" width="17.3984375" style="4" bestFit="1" customWidth="1"/>
    <col min="6654" max="6654" width="17.59765625" style="4" bestFit="1" customWidth="1"/>
    <col min="6655" max="6655" width="14.73046875" style="4" bestFit="1" customWidth="1"/>
    <col min="6656" max="6656" width="14.3984375" style="4" bestFit="1" customWidth="1"/>
    <col min="6657" max="6657" width="12.1328125" style="4" bestFit="1" customWidth="1"/>
    <col min="6658" max="6658" width="12.3984375" style="4" bestFit="1" customWidth="1"/>
    <col min="6659" max="6660" width="13.86328125" style="4" bestFit="1" customWidth="1"/>
    <col min="6661" max="6661" width="14.86328125" style="4" bestFit="1" customWidth="1"/>
    <col min="6662" max="6662" width="12.1328125" style="4" bestFit="1" customWidth="1"/>
    <col min="6663" max="6663" width="12.3984375" style="4" bestFit="1" customWidth="1"/>
    <col min="6664" max="6665" width="13.86328125" style="4" bestFit="1" customWidth="1"/>
    <col min="6666" max="6666" width="14.86328125" style="4" bestFit="1" customWidth="1"/>
    <col min="6667" max="6905" width="9.1328125" style="4"/>
    <col min="6906" max="6906" width="15.3984375" style="4" bestFit="1" customWidth="1"/>
    <col min="6907" max="6907" width="11.1328125" style="4" bestFit="1" customWidth="1"/>
    <col min="6908" max="6908" width="14.59765625" style="4" bestFit="1" customWidth="1"/>
    <col min="6909" max="6909" width="17.3984375" style="4" bestFit="1" customWidth="1"/>
    <col min="6910" max="6910" width="17.59765625" style="4" bestFit="1" customWidth="1"/>
    <col min="6911" max="6911" width="14.73046875" style="4" bestFit="1" customWidth="1"/>
    <col min="6912" max="6912" width="14.3984375" style="4" bestFit="1" customWidth="1"/>
    <col min="6913" max="6913" width="12.1328125" style="4" bestFit="1" customWidth="1"/>
    <col min="6914" max="6914" width="12.3984375" style="4" bestFit="1" customWidth="1"/>
    <col min="6915" max="6916" width="13.86328125" style="4" bestFit="1" customWidth="1"/>
    <col min="6917" max="6917" width="14.86328125" style="4" bestFit="1" customWidth="1"/>
    <col min="6918" max="6918" width="12.1328125" style="4" bestFit="1" customWidth="1"/>
    <col min="6919" max="6919" width="12.3984375" style="4" bestFit="1" customWidth="1"/>
    <col min="6920" max="6921" width="13.86328125" style="4" bestFit="1" customWidth="1"/>
    <col min="6922" max="6922" width="14.86328125" style="4" bestFit="1" customWidth="1"/>
    <col min="6923" max="7161" width="9.1328125" style="4"/>
    <col min="7162" max="7162" width="15.3984375" style="4" bestFit="1" customWidth="1"/>
    <col min="7163" max="7163" width="11.1328125" style="4" bestFit="1" customWidth="1"/>
    <col min="7164" max="7164" width="14.59765625" style="4" bestFit="1" customWidth="1"/>
    <col min="7165" max="7165" width="17.3984375" style="4" bestFit="1" customWidth="1"/>
    <col min="7166" max="7166" width="17.59765625" style="4" bestFit="1" customWidth="1"/>
    <col min="7167" max="7167" width="14.73046875" style="4" bestFit="1" customWidth="1"/>
    <col min="7168" max="7168" width="14.3984375" style="4" bestFit="1" customWidth="1"/>
    <col min="7169" max="7169" width="12.1328125" style="4" bestFit="1" customWidth="1"/>
    <col min="7170" max="7170" width="12.3984375" style="4" bestFit="1" customWidth="1"/>
    <col min="7171" max="7172" width="13.86328125" style="4" bestFit="1" customWidth="1"/>
    <col min="7173" max="7173" width="14.86328125" style="4" bestFit="1" customWidth="1"/>
    <col min="7174" max="7174" width="12.1328125" style="4" bestFit="1" customWidth="1"/>
    <col min="7175" max="7175" width="12.3984375" style="4" bestFit="1" customWidth="1"/>
    <col min="7176" max="7177" width="13.86328125" style="4" bestFit="1" customWidth="1"/>
    <col min="7178" max="7178" width="14.86328125" style="4" bestFit="1" customWidth="1"/>
    <col min="7179" max="7417" width="9.1328125" style="4"/>
    <col min="7418" max="7418" width="15.3984375" style="4" bestFit="1" customWidth="1"/>
    <col min="7419" max="7419" width="11.1328125" style="4" bestFit="1" customWidth="1"/>
    <col min="7420" max="7420" width="14.59765625" style="4" bestFit="1" customWidth="1"/>
    <col min="7421" max="7421" width="17.3984375" style="4" bestFit="1" customWidth="1"/>
    <col min="7422" max="7422" width="17.59765625" style="4" bestFit="1" customWidth="1"/>
    <col min="7423" max="7423" width="14.73046875" style="4" bestFit="1" customWidth="1"/>
    <col min="7424" max="7424" width="14.3984375" style="4" bestFit="1" customWidth="1"/>
    <col min="7425" max="7425" width="12.1328125" style="4" bestFit="1" customWidth="1"/>
    <col min="7426" max="7426" width="12.3984375" style="4" bestFit="1" customWidth="1"/>
    <col min="7427" max="7428" width="13.86328125" style="4" bestFit="1" customWidth="1"/>
    <col min="7429" max="7429" width="14.86328125" style="4" bestFit="1" customWidth="1"/>
    <col min="7430" max="7430" width="12.1328125" style="4" bestFit="1" customWidth="1"/>
    <col min="7431" max="7431" width="12.3984375" style="4" bestFit="1" customWidth="1"/>
    <col min="7432" max="7433" width="13.86328125" style="4" bestFit="1" customWidth="1"/>
    <col min="7434" max="7434" width="14.86328125" style="4" bestFit="1" customWidth="1"/>
    <col min="7435" max="7673" width="9.1328125" style="4"/>
    <col min="7674" max="7674" width="15.3984375" style="4" bestFit="1" customWidth="1"/>
    <col min="7675" max="7675" width="11.1328125" style="4" bestFit="1" customWidth="1"/>
    <col min="7676" max="7676" width="14.59765625" style="4" bestFit="1" customWidth="1"/>
    <col min="7677" max="7677" width="17.3984375" style="4" bestFit="1" customWidth="1"/>
    <col min="7678" max="7678" width="17.59765625" style="4" bestFit="1" customWidth="1"/>
    <col min="7679" max="7679" width="14.73046875" style="4" bestFit="1" customWidth="1"/>
    <col min="7680" max="7680" width="14.3984375" style="4" bestFit="1" customWidth="1"/>
    <col min="7681" max="7681" width="12.1328125" style="4" bestFit="1" customWidth="1"/>
    <col min="7682" max="7682" width="12.3984375" style="4" bestFit="1" customWidth="1"/>
    <col min="7683" max="7684" width="13.86328125" style="4" bestFit="1" customWidth="1"/>
    <col min="7685" max="7685" width="14.86328125" style="4" bestFit="1" customWidth="1"/>
    <col min="7686" max="7686" width="12.1328125" style="4" bestFit="1" customWidth="1"/>
    <col min="7687" max="7687" width="12.3984375" style="4" bestFit="1" customWidth="1"/>
    <col min="7688" max="7689" width="13.86328125" style="4" bestFit="1" customWidth="1"/>
    <col min="7690" max="7690" width="14.86328125" style="4" bestFit="1" customWidth="1"/>
    <col min="7691" max="7929" width="9.1328125" style="4"/>
    <col min="7930" max="7930" width="15.3984375" style="4" bestFit="1" customWidth="1"/>
    <col min="7931" max="7931" width="11.1328125" style="4" bestFit="1" customWidth="1"/>
    <col min="7932" max="7932" width="14.59765625" style="4" bestFit="1" customWidth="1"/>
    <col min="7933" max="7933" width="17.3984375" style="4" bestFit="1" customWidth="1"/>
    <col min="7934" max="7934" width="17.59765625" style="4" bestFit="1" customWidth="1"/>
    <col min="7935" max="7935" width="14.73046875" style="4" bestFit="1" customWidth="1"/>
    <col min="7936" max="7936" width="14.3984375" style="4" bestFit="1" customWidth="1"/>
    <col min="7937" max="7937" width="12.1328125" style="4" bestFit="1" customWidth="1"/>
    <col min="7938" max="7938" width="12.3984375" style="4" bestFit="1" customWidth="1"/>
    <col min="7939" max="7940" width="13.86328125" style="4" bestFit="1" customWidth="1"/>
    <col min="7941" max="7941" width="14.86328125" style="4" bestFit="1" customWidth="1"/>
    <col min="7942" max="7942" width="12.1328125" style="4" bestFit="1" customWidth="1"/>
    <col min="7943" max="7943" width="12.3984375" style="4" bestFit="1" customWidth="1"/>
    <col min="7944" max="7945" width="13.86328125" style="4" bestFit="1" customWidth="1"/>
    <col min="7946" max="7946" width="14.86328125" style="4" bestFit="1" customWidth="1"/>
    <col min="7947" max="8185" width="9.1328125" style="4"/>
    <col min="8186" max="8186" width="15.3984375" style="4" bestFit="1" customWidth="1"/>
    <col min="8187" max="8187" width="11.1328125" style="4" bestFit="1" customWidth="1"/>
    <col min="8188" max="8188" width="14.59765625" style="4" bestFit="1" customWidth="1"/>
    <col min="8189" max="8189" width="17.3984375" style="4" bestFit="1" customWidth="1"/>
    <col min="8190" max="8190" width="17.59765625" style="4" bestFit="1" customWidth="1"/>
    <col min="8191" max="8191" width="14.73046875" style="4" bestFit="1" customWidth="1"/>
    <col min="8192" max="8192" width="14.3984375" style="4" bestFit="1" customWidth="1"/>
    <col min="8193" max="8193" width="12.1328125" style="4" bestFit="1" customWidth="1"/>
    <col min="8194" max="8194" width="12.3984375" style="4" bestFit="1" customWidth="1"/>
    <col min="8195" max="8196" width="13.86328125" style="4" bestFit="1" customWidth="1"/>
    <col min="8197" max="8197" width="14.86328125" style="4" bestFit="1" customWidth="1"/>
    <col min="8198" max="8198" width="12.1328125" style="4" bestFit="1" customWidth="1"/>
    <col min="8199" max="8199" width="12.3984375" style="4" bestFit="1" customWidth="1"/>
    <col min="8200" max="8201" width="13.86328125" style="4" bestFit="1" customWidth="1"/>
    <col min="8202" max="8202" width="14.86328125" style="4" bestFit="1" customWidth="1"/>
    <col min="8203" max="8441" width="9.1328125" style="4"/>
    <col min="8442" max="8442" width="15.3984375" style="4" bestFit="1" customWidth="1"/>
    <col min="8443" max="8443" width="11.1328125" style="4" bestFit="1" customWidth="1"/>
    <col min="8444" max="8444" width="14.59765625" style="4" bestFit="1" customWidth="1"/>
    <col min="8445" max="8445" width="17.3984375" style="4" bestFit="1" customWidth="1"/>
    <col min="8446" max="8446" width="17.59765625" style="4" bestFit="1" customWidth="1"/>
    <col min="8447" max="8447" width="14.73046875" style="4" bestFit="1" customWidth="1"/>
    <col min="8448" max="8448" width="14.3984375" style="4" bestFit="1" customWidth="1"/>
    <col min="8449" max="8449" width="12.1328125" style="4" bestFit="1" customWidth="1"/>
    <col min="8450" max="8450" width="12.3984375" style="4" bestFit="1" customWidth="1"/>
    <col min="8451" max="8452" width="13.86328125" style="4" bestFit="1" customWidth="1"/>
    <col min="8453" max="8453" width="14.86328125" style="4" bestFit="1" customWidth="1"/>
    <col min="8454" max="8454" width="12.1328125" style="4" bestFit="1" customWidth="1"/>
    <col min="8455" max="8455" width="12.3984375" style="4" bestFit="1" customWidth="1"/>
    <col min="8456" max="8457" width="13.86328125" style="4" bestFit="1" customWidth="1"/>
    <col min="8458" max="8458" width="14.86328125" style="4" bestFit="1" customWidth="1"/>
    <col min="8459" max="8697" width="9.1328125" style="4"/>
    <col min="8698" max="8698" width="15.3984375" style="4" bestFit="1" customWidth="1"/>
    <col min="8699" max="8699" width="11.1328125" style="4" bestFit="1" customWidth="1"/>
    <col min="8700" max="8700" width="14.59765625" style="4" bestFit="1" customWidth="1"/>
    <col min="8701" max="8701" width="17.3984375" style="4" bestFit="1" customWidth="1"/>
    <col min="8702" max="8702" width="17.59765625" style="4" bestFit="1" customWidth="1"/>
    <col min="8703" max="8703" width="14.73046875" style="4" bestFit="1" customWidth="1"/>
    <col min="8704" max="8704" width="14.3984375" style="4" bestFit="1" customWidth="1"/>
    <col min="8705" max="8705" width="12.1328125" style="4" bestFit="1" customWidth="1"/>
    <col min="8706" max="8706" width="12.3984375" style="4" bestFit="1" customWidth="1"/>
    <col min="8707" max="8708" width="13.86328125" style="4" bestFit="1" customWidth="1"/>
    <col min="8709" max="8709" width="14.86328125" style="4" bestFit="1" customWidth="1"/>
    <col min="8710" max="8710" width="12.1328125" style="4" bestFit="1" customWidth="1"/>
    <col min="8711" max="8711" width="12.3984375" style="4" bestFit="1" customWidth="1"/>
    <col min="8712" max="8713" width="13.86328125" style="4" bestFit="1" customWidth="1"/>
    <col min="8714" max="8714" width="14.86328125" style="4" bestFit="1" customWidth="1"/>
    <col min="8715" max="8953" width="9.1328125" style="4"/>
    <col min="8954" max="8954" width="15.3984375" style="4" bestFit="1" customWidth="1"/>
    <col min="8955" max="8955" width="11.1328125" style="4" bestFit="1" customWidth="1"/>
    <col min="8956" max="8956" width="14.59765625" style="4" bestFit="1" customWidth="1"/>
    <col min="8957" max="8957" width="17.3984375" style="4" bestFit="1" customWidth="1"/>
    <col min="8958" max="8958" width="17.59765625" style="4" bestFit="1" customWidth="1"/>
    <col min="8959" max="8959" width="14.73046875" style="4" bestFit="1" customWidth="1"/>
    <col min="8960" max="8960" width="14.3984375" style="4" bestFit="1" customWidth="1"/>
    <col min="8961" max="8961" width="12.1328125" style="4" bestFit="1" customWidth="1"/>
    <col min="8962" max="8962" width="12.3984375" style="4" bestFit="1" customWidth="1"/>
    <col min="8963" max="8964" width="13.86328125" style="4" bestFit="1" customWidth="1"/>
    <col min="8965" max="8965" width="14.86328125" style="4" bestFit="1" customWidth="1"/>
    <col min="8966" max="8966" width="12.1328125" style="4" bestFit="1" customWidth="1"/>
    <col min="8967" max="8967" width="12.3984375" style="4" bestFit="1" customWidth="1"/>
    <col min="8968" max="8969" width="13.86328125" style="4" bestFit="1" customWidth="1"/>
    <col min="8970" max="8970" width="14.86328125" style="4" bestFit="1" customWidth="1"/>
    <col min="8971" max="9209" width="9.1328125" style="4"/>
    <col min="9210" max="9210" width="15.3984375" style="4" bestFit="1" customWidth="1"/>
    <col min="9211" max="9211" width="11.1328125" style="4" bestFit="1" customWidth="1"/>
    <col min="9212" max="9212" width="14.59765625" style="4" bestFit="1" customWidth="1"/>
    <col min="9213" max="9213" width="17.3984375" style="4" bestFit="1" customWidth="1"/>
    <col min="9214" max="9214" width="17.59765625" style="4" bestFit="1" customWidth="1"/>
    <col min="9215" max="9215" width="14.73046875" style="4" bestFit="1" customWidth="1"/>
    <col min="9216" max="9216" width="14.3984375" style="4" bestFit="1" customWidth="1"/>
    <col min="9217" max="9217" width="12.1328125" style="4" bestFit="1" customWidth="1"/>
    <col min="9218" max="9218" width="12.3984375" style="4" bestFit="1" customWidth="1"/>
    <col min="9219" max="9220" width="13.86328125" style="4" bestFit="1" customWidth="1"/>
    <col min="9221" max="9221" width="14.86328125" style="4" bestFit="1" customWidth="1"/>
    <col min="9222" max="9222" width="12.1328125" style="4" bestFit="1" customWidth="1"/>
    <col min="9223" max="9223" width="12.3984375" style="4" bestFit="1" customWidth="1"/>
    <col min="9224" max="9225" width="13.86328125" style="4" bestFit="1" customWidth="1"/>
    <col min="9226" max="9226" width="14.86328125" style="4" bestFit="1" customWidth="1"/>
    <col min="9227" max="9465" width="9.1328125" style="4"/>
    <col min="9466" max="9466" width="15.3984375" style="4" bestFit="1" customWidth="1"/>
    <col min="9467" max="9467" width="11.1328125" style="4" bestFit="1" customWidth="1"/>
    <col min="9468" max="9468" width="14.59765625" style="4" bestFit="1" customWidth="1"/>
    <col min="9469" max="9469" width="17.3984375" style="4" bestFit="1" customWidth="1"/>
    <col min="9470" max="9470" width="17.59765625" style="4" bestFit="1" customWidth="1"/>
    <col min="9471" max="9471" width="14.73046875" style="4" bestFit="1" customWidth="1"/>
    <col min="9472" max="9472" width="14.3984375" style="4" bestFit="1" customWidth="1"/>
    <col min="9473" max="9473" width="12.1328125" style="4" bestFit="1" customWidth="1"/>
    <col min="9474" max="9474" width="12.3984375" style="4" bestFit="1" customWidth="1"/>
    <col min="9475" max="9476" width="13.86328125" style="4" bestFit="1" customWidth="1"/>
    <col min="9477" max="9477" width="14.86328125" style="4" bestFit="1" customWidth="1"/>
    <col min="9478" max="9478" width="12.1328125" style="4" bestFit="1" customWidth="1"/>
    <col min="9479" max="9479" width="12.3984375" style="4" bestFit="1" customWidth="1"/>
    <col min="9480" max="9481" width="13.86328125" style="4" bestFit="1" customWidth="1"/>
    <col min="9482" max="9482" width="14.86328125" style="4" bestFit="1" customWidth="1"/>
    <col min="9483" max="9721" width="9.1328125" style="4"/>
    <col min="9722" max="9722" width="15.3984375" style="4" bestFit="1" customWidth="1"/>
    <col min="9723" max="9723" width="11.1328125" style="4" bestFit="1" customWidth="1"/>
    <col min="9724" max="9724" width="14.59765625" style="4" bestFit="1" customWidth="1"/>
    <col min="9725" max="9725" width="17.3984375" style="4" bestFit="1" customWidth="1"/>
    <col min="9726" max="9726" width="17.59765625" style="4" bestFit="1" customWidth="1"/>
    <col min="9727" max="9727" width="14.73046875" style="4" bestFit="1" customWidth="1"/>
    <col min="9728" max="9728" width="14.3984375" style="4" bestFit="1" customWidth="1"/>
    <col min="9729" max="9729" width="12.1328125" style="4" bestFit="1" customWidth="1"/>
    <col min="9730" max="9730" width="12.3984375" style="4" bestFit="1" customWidth="1"/>
    <col min="9731" max="9732" width="13.86328125" style="4" bestFit="1" customWidth="1"/>
    <col min="9733" max="9733" width="14.86328125" style="4" bestFit="1" customWidth="1"/>
    <col min="9734" max="9734" width="12.1328125" style="4" bestFit="1" customWidth="1"/>
    <col min="9735" max="9735" width="12.3984375" style="4" bestFit="1" customWidth="1"/>
    <col min="9736" max="9737" width="13.86328125" style="4" bestFit="1" customWidth="1"/>
    <col min="9738" max="9738" width="14.86328125" style="4" bestFit="1" customWidth="1"/>
    <col min="9739" max="9977" width="9.1328125" style="4"/>
    <col min="9978" max="9978" width="15.3984375" style="4" bestFit="1" customWidth="1"/>
    <col min="9979" max="9979" width="11.1328125" style="4" bestFit="1" customWidth="1"/>
    <col min="9980" max="9980" width="14.59765625" style="4" bestFit="1" customWidth="1"/>
    <col min="9981" max="9981" width="17.3984375" style="4" bestFit="1" customWidth="1"/>
    <col min="9982" max="9982" width="17.59765625" style="4" bestFit="1" customWidth="1"/>
    <col min="9983" max="9983" width="14.73046875" style="4" bestFit="1" customWidth="1"/>
    <col min="9984" max="9984" width="14.3984375" style="4" bestFit="1" customWidth="1"/>
    <col min="9985" max="9985" width="12.1328125" style="4" bestFit="1" customWidth="1"/>
    <col min="9986" max="9986" width="12.3984375" style="4" bestFit="1" customWidth="1"/>
    <col min="9987" max="9988" width="13.86328125" style="4" bestFit="1" customWidth="1"/>
    <col min="9989" max="9989" width="14.86328125" style="4" bestFit="1" customWidth="1"/>
    <col min="9990" max="9990" width="12.1328125" style="4" bestFit="1" customWidth="1"/>
    <col min="9991" max="9991" width="12.3984375" style="4" bestFit="1" customWidth="1"/>
    <col min="9992" max="9993" width="13.86328125" style="4" bestFit="1" customWidth="1"/>
    <col min="9994" max="9994" width="14.86328125" style="4" bestFit="1" customWidth="1"/>
    <col min="9995" max="10233" width="9.1328125" style="4"/>
    <col min="10234" max="10234" width="15.3984375" style="4" bestFit="1" customWidth="1"/>
    <col min="10235" max="10235" width="11.1328125" style="4" bestFit="1" customWidth="1"/>
    <col min="10236" max="10236" width="14.59765625" style="4" bestFit="1" customWidth="1"/>
    <col min="10237" max="10237" width="17.3984375" style="4" bestFit="1" customWidth="1"/>
    <col min="10238" max="10238" width="17.59765625" style="4" bestFit="1" customWidth="1"/>
    <col min="10239" max="10239" width="14.73046875" style="4" bestFit="1" customWidth="1"/>
    <col min="10240" max="10240" width="14.3984375" style="4" bestFit="1" customWidth="1"/>
    <col min="10241" max="10241" width="12.1328125" style="4" bestFit="1" customWidth="1"/>
    <col min="10242" max="10242" width="12.3984375" style="4" bestFit="1" customWidth="1"/>
    <col min="10243" max="10244" width="13.86328125" style="4" bestFit="1" customWidth="1"/>
    <col min="10245" max="10245" width="14.86328125" style="4" bestFit="1" customWidth="1"/>
    <col min="10246" max="10246" width="12.1328125" style="4" bestFit="1" customWidth="1"/>
    <col min="10247" max="10247" width="12.3984375" style="4" bestFit="1" customWidth="1"/>
    <col min="10248" max="10249" width="13.86328125" style="4" bestFit="1" customWidth="1"/>
    <col min="10250" max="10250" width="14.86328125" style="4" bestFit="1" customWidth="1"/>
    <col min="10251" max="10489" width="9.1328125" style="4"/>
    <col min="10490" max="10490" width="15.3984375" style="4" bestFit="1" customWidth="1"/>
    <col min="10491" max="10491" width="11.1328125" style="4" bestFit="1" customWidth="1"/>
    <col min="10492" max="10492" width="14.59765625" style="4" bestFit="1" customWidth="1"/>
    <col min="10493" max="10493" width="17.3984375" style="4" bestFit="1" customWidth="1"/>
    <col min="10494" max="10494" width="17.59765625" style="4" bestFit="1" customWidth="1"/>
    <col min="10495" max="10495" width="14.73046875" style="4" bestFit="1" customWidth="1"/>
    <col min="10496" max="10496" width="14.3984375" style="4" bestFit="1" customWidth="1"/>
    <col min="10497" max="10497" width="12.1328125" style="4" bestFit="1" customWidth="1"/>
    <col min="10498" max="10498" width="12.3984375" style="4" bestFit="1" customWidth="1"/>
    <col min="10499" max="10500" width="13.86328125" style="4" bestFit="1" customWidth="1"/>
    <col min="10501" max="10501" width="14.86328125" style="4" bestFit="1" customWidth="1"/>
    <col min="10502" max="10502" width="12.1328125" style="4" bestFit="1" customWidth="1"/>
    <col min="10503" max="10503" width="12.3984375" style="4" bestFit="1" customWidth="1"/>
    <col min="10504" max="10505" width="13.86328125" style="4" bestFit="1" customWidth="1"/>
    <col min="10506" max="10506" width="14.86328125" style="4" bestFit="1" customWidth="1"/>
    <col min="10507" max="10745" width="9.1328125" style="4"/>
    <col min="10746" max="10746" width="15.3984375" style="4" bestFit="1" customWidth="1"/>
    <col min="10747" max="10747" width="11.1328125" style="4" bestFit="1" customWidth="1"/>
    <col min="10748" max="10748" width="14.59765625" style="4" bestFit="1" customWidth="1"/>
    <col min="10749" max="10749" width="17.3984375" style="4" bestFit="1" customWidth="1"/>
    <col min="10750" max="10750" width="17.59765625" style="4" bestFit="1" customWidth="1"/>
    <col min="10751" max="10751" width="14.73046875" style="4" bestFit="1" customWidth="1"/>
    <col min="10752" max="10752" width="14.3984375" style="4" bestFit="1" customWidth="1"/>
    <col min="10753" max="10753" width="12.1328125" style="4" bestFit="1" customWidth="1"/>
    <col min="10754" max="10754" width="12.3984375" style="4" bestFit="1" customWidth="1"/>
    <col min="10755" max="10756" width="13.86328125" style="4" bestFit="1" customWidth="1"/>
    <col min="10757" max="10757" width="14.86328125" style="4" bestFit="1" customWidth="1"/>
    <col min="10758" max="10758" width="12.1328125" style="4" bestFit="1" customWidth="1"/>
    <col min="10759" max="10759" width="12.3984375" style="4" bestFit="1" customWidth="1"/>
    <col min="10760" max="10761" width="13.86328125" style="4" bestFit="1" customWidth="1"/>
    <col min="10762" max="10762" width="14.86328125" style="4" bestFit="1" customWidth="1"/>
    <col min="10763" max="11001" width="9.1328125" style="4"/>
    <col min="11002" max="11002" width="15.3984375" style="4" bestFit="1" customWidth="1"/>
    <col min="11003" max="11003" width="11.1328125" style="4" bestFit="1" customWidth="1"/>
    <col min="11004" max="11004" width="14.59765625" style="4" bestFit="1" customWidth="1"/>
    <col min="11005" max="11005" width="17.3984375" style="4" bestFit="1" customWidth="1"/>
    <col min="11006" max="11006" width="17.59765625" style="4" bestFit="1" customWidth="1"/>
    <col min="11007" max="11007" width="14.73046875" style="4" bestFit="1" customWidth="1"/>
    <col min="11008" max="11008" width="14.3984375" style="4" bestFit="1" customWidth="1"/>
    <col min="11009" max="11009" width="12.1328125" style="4" bestFit="1" customWidth="1"/>
    <col min="11010" max="11010" width="12.3984375" style="4" bestFit="1" customWidth="1"/>
    <col min="11011" max="11012" width="13.86328125" style="4" bestFit="1" customWidth="1"/>
    <col min="11013" max="11013" width="14.86328125" style="4" bestFit="1" customWidth="1"/>
    <col min="11014" max="11014" width="12.1328125" style="4" bestFit="1" customWidth="1"/>
    <col min="11015" max="11015" width="12.3984375" style="4" bestFit="1" customWidth="1"/>
    <col min="11016" max="11017" width="13.86328125" style="4" bestFit="1" customWidth="1"/>
    <col min="11018" max="11018" width="14.86328125" style="4" bestFit="1" customWidth="1"/>
    <col min="11019" max="11257" width="9.1328125" style="4"/>
    <col min="11258" max="11258" width="15.3984375" style="4" bestFit="1" customWidth="1"/>
    <col min="11259" max="11259" width="11.1328125" style="4" bestFit="1" customWidth="1"/>
    <col min="11260" max="11260" width="14.59765625" style="4" bestFit="1" customWidth="1"/>
    <col min="11261" max="11261" width="17.3984375" style="4" bestFit="1" customWidth="1"/>
    <col min="11262" max="11262" width="17.59765625" style="4" bestFit="1" customWidth="1"/>
    <col min="11263" max="11263" width="14.73046875" style="4" bestFit="1" customWidth="1"/>
    <col min="11264" max="11264" width="14.3984375" style="4" bestFit="1" customWidth="1"/>
    <col min="11265" max="11265" width="12.1328125" style="4" bestFit="1" customWidth="1"/>
    <col min="11266" max="11266" width="12.3984375" style="4" bestFit="1" customWidth="1"/>
    <col min="11267" max="11268" width="13.86328125" style="4" bestFit="1" customWidth="1"/>
    <col min="11269" max="11269" width="14.86328125" style="4" bestFit="1" customWidth="1"/>
    <col min="11270" max="11270" width="12.1328125" style="4" bestFit="1" customWidth="1"/>
    <col min="11271" max="11271" width="12.3984375" style="4" bestFit="1" customWidth="1"/>
    <col min="11272" max="11273" width="13.86328125" style="4" bestFit="1" customWidth="1"/>
    <col min="11274" max="11274" width="14.86328125" style="4" bestFit="1" customWidth="1"/>
    <col min="11275" max="11513" width="9.1328125" style="4"/>
    <col min="11514" max="11514" width="15.3984375" style="4" bestFit="1" customWidth="1"/>
    <col min="11515" max="11515" width="11.1328125" style="4" bestFit="1" customWidth="1"/>
    <col min="11516" max="11516" width="14.59765625" style="4" bestFit="1" customWidth="1"/>
    <col min="11517" max="11517" width="17.3984375" style="4" bestFit="1" customWidth="1"/>
    <col min="11518" max="11518" width="17.59765625" style="4" bestFit="1" customWidth="1"/>
    <col min="11519" max="11519" width="14.73046875" style="4" bestFit="1" customWidth="1"/>
    <col min="11520" max="11520" width="14.3984375" style="4" bestFit="1" customWidth="1"/>
    <col min="11521" max="11521" width="12.1328125" style="4" bestFit="1" customWidth="1"/>
    <col min="11522" max="11522" width="12.3984375" style="4" bestFit="1" customWidth="1"/>
    <col min="11523" max="11524" width="13.86328125" style="4" bestFit="1" customWidth="1"/>
    <col min="11525" max="11525" width="14.86328125" style="4" bestFit="1" customWidth="1"/>
    <col min="11526" max="11526" width="12.1328125" style="4" bestFit="1" customWidth="1"/>
    <col min="11527" max="11527" width="12.3984375" style="4" bestFit="1" customWidth="1"/>
    <col min="11528" max="11529" width="13.86328125" style="4" bestFit="1" customWidth="1"/>
    <col min="11530" max="11530" width="14.86328125" style="4" bestFit="1" customWidth="1"/>
    <col min="11531" max="11769" width="9.1328125" style="4"/>
    <col min="11770" max="11770" width="15.3984375" style="4" bestFit="1" customWidth="1"/>
    <col min="11771" max="11771" width="11.1328125" style="4" bestFit="1" customWidth="1"/>
    <col min="11772" max="11772" width="14.59765625" style="4" bestFit="1" customWidth="1"/>
    <col min="11773" max="11773" width="17.3984375" style="4" bestFit="1" customWidth="1"/>
    <col min="11774" max="11774" width="17.59765625" style="4" bestFit="1" customWidth="1"/>
    <col min="11775" max="11775" width="14.73046875" style="4" bestFit="1" customWidth="1"/>
    <col min="11776" max="11776" width="14.3984375" style="4" bestFit="1" customWidth="1"/>
    <col min="11777" max="11777" width="12.1328125" style="4" bestFit="1" customWidth="1"/>
    <col min="11778" max="11778" width="12.3984375" style="4" bestFit="1" customWidth="1"/>
    <col min="11779" max="11780" width="13.86328125" style="4" bestFit="1" customWidth="1"/>
    <col min="11781" max="11781" width="14.86328125" style="4" bestFit="1" customWidth="1"/>
    <col min="11782" max="11782" width="12.1328125" style="4" bestFit="1" customWidth="1"/>
    <col min="11783" max="11783" width="12.3984375" style="4" bestFit="1" customWidth="1"/>
    <col min="11784" max="11785" width="13.86328125" style="4" bestFit="1" customWidth="1"/>
    <col min="11786" max="11786" width="14.86328125" style="4" bestFit="1" customWidth="1"/>
    <col min="11787" max="12025" width="9.1328125" style="4"/>
    <col min="12026" max="12026" width="15.3984375" style="4" bestFit="1" customWidth="1"/>
    <col min="12027" max="12027" width="11.1328125" style="4" bestFit="1" customWidth="1"/>
    <col min="12028" max="12028" width="14.59765625" style="4" bestFit="1" customWidth="1"/>
    <col min="12029" max="12029" width="17.3984375" style="4" bestFit="1" customWidth="1"/>
    <col min="12030" max="12030" width="17.59765625" style="4" bestFit="1" customWidth="1"/>
    <col min="12031" max="12031" width="14.73046875" style="4" bestFit="1" customWidth="1"/>
    <col min="12032" max="12032" width="14.3984375" style="4" bestFit="1" customWidth="1"/>
    <col min="12033" max="12033" width="12.1328125" style="4" bestFit="1" customWidth="1"/>
    <col min="12034" max="12034" width="12.3984375" style="4" bestFit="1" customWidth="1"/>
    <col min="12035" max="12036" width="13.86328125" style="4" bestFit="1" customWidth="1"/>
    <col min="12037" max="12037" width="14.86328125" style="4" bestFit="1" customWidth="1"/>
    <col min="12038" max="12038" width="12.1328125" style="4" bestFit="1" customWidth="1"/>
    <col min="12039" max="12039" width="12.3984375" style="4" bestFit="1" customWidth="1"/>
    <col min="12040" max="12041" width="13.86328125" style="4" bestFit="1" customWidth="1"/>
    <col min="12042" max="12042" width="14.86328125" style="4" bestFit="1" customWidth="1"/>
    <col min="12043" max="12281" width="9.1328125" style="4"/>
    <col min="12282" max="12282" width="15.3984375" style="4" bestFit="1" customWidth="1"/>
    <col min="12283" max="12283" width="11.1328125" style="4" bestFit="1" customWidth="1"/>
    <col min="12284" max="12284" width="14.59765625" style="4" bestFit="1" customWidth="1"/>
    <col min="12285" max="12285" width="17.3984375" style="4" bestFit="1" customWidth="1"/>
    <col min="12286" max="12286" width="17.59765625" style="4" bestFit="1" customWidth="1"/>
    <col min="12287" max="12287" width="14.73046875" style="4" bestFit="1" customWidth="1"/>
    <col min="12288" max="12288" width="14.3984375" style="4" bestFit="1" customWidth="1"/>
    <col min="12289" max="12289" width="12.1328125" style="4" bestFit="1" customWidth="1"/>
    <col min="12290" max="12290" width="12.3984375" style="4" bestFit="1" customWidth="1"/>
    <col min="12291" max="12292" width="13.86328125" style="4" bestFit="1" customWidth="1"/>
    <col min="12293" max="12293" width="14.86328125" style="4" bestFit="1" customWidth="1"/>
    <col min="12294" max="12294" width="12.1328125" style="4" bestFit="1" customWidth="1"/>
    <col min="12295" max="12295" width="12.3984375" style="4" bestFit="1" customWidth="1"/>
    <col min="12296" max="12297" width="13.86328125" style="4" bestFit="1" customWidth="1"/>
    <col min="12298" max="12298" width="14.86328125" style="4" bestFit="1" customWidth="1"/>
    <col min="12299" max="12537" width="9.1328125" style="4"/>
    <col min="12538" max="12538" width="15.3984375" style="4" bestFit="1" customWidth="1"/>
    <col min="12539" max="12539" width="11.1328125" style="4" bestFit="1" customWidth="1"/>
    <col min="12540" max="12540" width="14.59765625" style="4" bestFit="1" customWidth="1"/>
    <col min="12541" max="12541" width="17.3984375" style="4" bestFit="1" customWidth="1"/>
    <col min="12542" max="12542" width="17.59765625" style="4" bestFit="1" customWidth="1"/>
    <col min="12543" max="12543" width="14.73046875" style="4" bestFit="1" customWidth="1"/>
    <col min="12544" max="12544" width="14.3984375" style="4" bestFit="1" customWidth="1"/>
    <col min="12545" max="12545" width="12.1328125" style="4" bestFit="1" customWidth="1"/>
    <col min="12546" max="12546" width="12.3984375" style="4" bestFit="1" customWidth="1"/>
    <col min="12547" max="12548" width="13.86328125" style="4" bestFit="1" customWidth="1"/>
    <col min="12549" max="12549" width="14.86328125" style="4" bestFit="1" customWidth="1"/>
    <col min="12550" max="12550" width="12.1328125" style="4" bestFit="1" customWidth="1"/>
    <col min="12551" max="12551" width="12.3984375" style="4" bestFit="1" customWidth="1"/>
    <col min="12552" max="12553" width="13.86328125" style="4" bestFit="1" customWidth="1"/>
    <col min="12554" max="12554" width="14.86328125" style="4" bestFit="1" customWidth="1"/>
    <col min="12555" max="12793" width="9.1328125" style="4"/>
    <col min="12794" max="12794" width="15.3984375" style="4" bestFit="1" customWidth="1"/>
    <col min="12795" max="12795" width="11.1328125" style="4" bestFit="1" customWidth="1"/>
    <col min="12796" max="12796" width="14.59765625" style="4" bestFit="1" customWidth="1"/>
    <col min="12797" max="12797" width="17.3984375" style="4" bestFit="1" customWidth="1"/>
    <col min="12798" max="12798" width="17.59765625" style="4" bestFit="1" customWidth="1"/>
    <col min="12799" max="12799" width="14.73046875" style="4" bestFit="1" customWidth="1"/>
    <col min="12800" max="12800" width="14.3984375" style="4" bestFit="1" customWidth="1"/>
    <col min="12801" max="12801" width="12.1328125" style="4" bestFit="1" customWidth="1"/>
    <col min="12802" max="12802" width="12.3984375" style="4" bestFit="1" customWidth="1"/>
    <col min="12803" max="12804" width="13.86328125" style="4" bestFit="1" customWidth="1"/>
    <col min="12805" max="12805" width="14.86328125" style="4" bestFit="1" customWidth="1"/>
    <col min="12806" max="12806" width="12.1328125" style="4" bestFit="1" customWidth="1"/>
    <col min="12807" max="12807" width="12.3984375" style="4" bestFit="1" customWidth="1"/>
    <col min="12808" max="12809" width="13.86328125" style="4" bestFit="1" customWidth="1"/>
    <col min="12810" max="12810" width="14.86328125" style="4" bestFit="1" customWidth="1"/>
    <col min="12811" max="13049" width="9.1328125" style="4"/>
    <col min="13050" max="13050" width="15.3984375" style="4" bestFit="1" customWidth="1"/>
    <col min="13051" max="13051" width="11.1328125" style="4" bestFit="1" customWidth="1"/>
    <col min="13052" max="13052" width="14.59765625" style="4" bestFit="1" customWidth="1"/>
    <col min="13053" max="13053" width="17.3984375" style="4" bestFit="1" customWidth="1"/>
    <col min="13054" max="13054" width="17.59765625" style="4" bestFit="1" customWidth="1"/>
    <col min="13055" max="13055" width="14.73046875" style="4" bestFit="1" customWidth="1"/>
    <col min="13056" max="13056" width="14.3984375" style="4" bestFit="1" customWidth="1"/>
    <col min="13057" max="13057" width="12.1328125" style="4" bestFit="1" customWidth="1"/>
    <col min="13058" max="13058" width="12.3984375" style="4" bestFit="1" customWidth="1"/>
    <col min="13059" max="13060" width="13.86328125" style="4" bestFit="1" customWidth="1"/>
    <col min="13061" max="13061" width="14.86328125" style="4" bestFit="1" customWidth="1"/>
    <col min="13062" max="13062" width="12.1328125" style="4" bestFit="1" customWidth="1"/>
    <col min="13063" max="13063" width="12.3984375" style="4" bestFit="1" customWidth="1"/>
    <col min="13064" max="13065" width="13.86328125" style="4" bestFit="1" customWidth="1"/>
    <col min="13066" max="13066" width="14.86328125" style="4" bestFit="1" customWidth="1"/>
    <col min="13067" max="13305" width="9.1328125" style="4"/>
    <col min="13306" max="13306" width="15.3984375" style="4" bestFit="1" customWidth="1"/>
    <col min="13307" max="13307" width="11.1328125" style="4" bestFit="1" customWidth="1"/>
    <col min="13308" max="13308" width="14.59765625" style="4" bestFit="1" customWidth="1"/>
    <col min="13309" max="13309" width="17.3984375" style="4" bestFit="1" customWidth="1"/>
    <col min="13310" max="13310" width="17.59765625" style="4" bestFit="1" customWidth="1"/>
    <col min="13311" max="13311" width="14.73046875" style="4" bestFit="1" customWidth="1"/>
    <col min="13312" max="13312" width="14.3984375" style="4" bestFit="1" customWidth="1"/>
    <col min="13313" max="13313" width="12.1328125" style="4" bestFit="1" customWidth="1"/>
    <col min="13314" max="13314" width="12.3984375" style="4" bestFit="1" customWidth="1"/>
    <col min="13315" max="13316" width="13.86328125" style="4" bestFit="1" customWidth="1"/>
    <col min="13317" max="13317" width="14.86328125" style="4" bestFit="1" customWidth="1"/>
    <col min="13318" max="13318" width="12.1328125" style="4" bestFit="1" customWidth="1"/>
    <col min="13319" max="13319" width="12.3984375" style="4" bestFit="1" customWidth="1"/>
    <col min="13320" max="13321" width="13.86328125" style="4" bestFit="1" customWidth="1"/>
    <col min="13322" max="13322" width="14.86328125" style="4" bestFit="1" customWidth="1"/>
    <col min="13323" max="13561" width="9.1328125" style="4"/>
    <col min="13562" max="13562" width="15.3984375" style="4" bestFit="1" customWidth="1"/>
    <col min="13563" max="13563" width="11.1328125" style="4" bestFit="1" customWidth="1"/>
    <col min="13564" max="13564" width="14.59765625" style="4" bestFit="1" customWidth="1"/>
    <col min="13565" max="13565" width="17.3984375" style="4" bestFit="1" customWidth="1"/>
    <col min="13566" max="13566" width="17.59765625" style="4" bestFit="1" customWidth="1"/>
    <col min="13567" max="13567" width="14.73046875" style="4" bestFit="1" customWidth="1"/>
    <col min="13568" max="13568" width="14.3984375" style="4" bestFit="1" customWidth="1"/>
    <col min="13569" max="13569" width="12.1328125" style="4" bestFit="1" customWidth="1"/>
    <col min="13570" max="13570" width="12.3984375" style="4" bestFit="1" customWidth="1"/>
    <col min="13571" max="13572" width="13.86328125" style="4" bestFit="1" customWidth="1"/>
    <col min="13573" max="13573" width="14.86328125" style="4" bestFit="1" customWidth="1"/>
    <col min="13574" max="13574" width="12.1328125" style="4" bestFit="1" customWidth="1"/>
    <col min="13575" max="13575" width="12.3984375" style="4" bestFit="1" customWidth="1"/>
    <col min="13576" max="13577" width="13.86328125" style="4" bestFit="1" customWidth="1"/>
    <col min="13578" max="13578" width="14.86328125" style="4" bestFit="1" customWidth="1"/>
    <col min="13579" max="13817" width="9.1328125" style="4"/>
    <col min="13818" max="13818" width="15.3984375" style="4" bestFit="1" customWidth="1"/>
    <col min="13819" max="13819" width="11.1328125" style="4" bestFit="1" customWidth="1"/>
    <col min="13820" max="13820" width="14.59765625" style="4" bestFit="1" customWidth="1"/>
    <col min="13821" max="13821" width="17.3984375" style="4" bestFit="1" customWidth="1"/>
    <col min="13822" max="13822" width="17.59765625" style="4" bestFit="1" customWidth="1"/>
    <col min="13823" max="13823" width="14.73046875" style="4" bestFit="1" customWidth="1"/>
    <col min="13824" max="13824" width="14.3984375" style="4" bestFit="1" customWidth="1"/>
    <col min="13825" max="13825" width="12.1328125" style="4" bestFit="1" customWidth="1"/>
    <col min="13826" max="13826" width="12.3984375" style="4" bestFit="1" customWidth="1"/>
    <col min="13827" max="13828" width="13.86328125" style="4" bestFit="1" customWidth="1"/>
    <col min="13829" max="13829" width="14.86328125" style="4" bestFit="1" customWidth="1"/>
    <col min="13830" max="13830" width="12.1328125" style="4" bestFit="1" customWidth="1"/>
    <col min="13831" max="13831" width="12.3984375" style="4" bestFit="1" customWidth="1"/>
    <col min="13832" max="13833" width="13.86328125" style="4" bestFit="1" customWidth="1"/>
    <col min="13834" max="13834" width="14.86328125" style="4" bestFit="1" customWidth="1"/>
    <col min="13835" max="14073" width="9.1328125" style="4"/>
    <col min="14074" max="14074" width="15.3984375" style="4" bestFit="1" customWidth="1"/>
    <col min="14075" max="14075" width="11.1328125" style="4" bestFit="1" customWidth="1"/>
    <col min="14076" max="14076" width="14.59765625" style="4" bestFit="1" customWidth="1"/>
    <col min="14077" max="14077" width="17.3984375" style="4" bestFit="1" customWidth="1"/>
    <col min="14078" max="14078" width="17.59765625" style="4" bestFit="1" customWidth="1"/>
    <col min="14079" max="14079" width="14.73046875" style="4" bestFit="1" customWidth="1"/>
    <col min="14080" max="14080" width="14.3984375" style="4" bestFit="1" customWidth="1"/>
    <col min="14081" max="14081" width="12.1328125" style="4" bestFit="1" customWidth="1"/>
    <col min="14082" max="14082" width="12.3984375" style="4" bestFit="1" customWidth="1"/>
    <col min="14083" max="14084" width="13.86328125" style="4" bestFit="1" customWidth="1"/>
    <col min="14085" max="14085" width="14.86328125" style="4" bestFit="1" customWidth="1"/>
    <col min="14086" max="14086" width="12.1328125" style="4" bestFit="1" customWidth="1"/>
    <col min="14087" max="14087" width="12.3984375" style="4" bestFit="1" customWidth="1"/>
    <col min="14088" max="14089" width="13.86328125" style="4" bestFit="1" customWidth="1"/>
    <col min="14090" max="14090" width="14.86328125" style="4" bestFit="1" customWidth="1"/>
    <col min="14091" max="14329" width="9.1328125" style="4"/>
    <col min="14330" max="14330" width="15.3984375" style="4" bestFit="1" customWidth="1"/>
    <col min="14331" max="14331" width="11.1328125" style="4" bestFit="1" customWidth="1"/>
    <col min="14332" max="14332" width="14.59765625" style="4" bestFit="1" customWidth="1"/>
    <col min="14333" max="14333" width="17.3984375" style="4" bestFit="1" customWidth="1"/>
    <col min="14334" max="14334" width="17.59765625" style="4" bestFit="1" customWidth="1"/>
    <col min="14335" max="14335" width="14.73046875" style="4" bestFit="1" customWidth="1"/>
    <col min="14336" max="14336" width="14.3984375" style="4" bestFit="1" customWidth="1"/>
    <col min="14337" max="14337" width="12.1328125" style="4" bestFit="1" customWidth="1"/>
    <col min="14338" max="14338" width="12.3984375" style="4" bestFit="1" customWidth="1"/>
    <col min="14339" max="14340" width="13.86328125" style="4" bestFit="1" customWidth="1"/>
    <col min="14341" max="14341" width="14.86328125" style="4" bestFit="1" customWidth="1"/>
    <col min="14342" max="14342" width="12.1328125" style="4" bestFit="1" customWidth="1"/>
    <col min="14343" max="14343" width="12.3984375" style="4" bestFit="1" customWidth="1"/>
    <col min="14344" max="14345" width="13.86328125" style="4" bestFit="1" customWidth="1"/>
    <col min="14346" max="14346" width="14.86328125" style="4" bestFit="1" customWidth="1"/>
    <col min="14347" max="14585" width="9.1328125" style="4"/>
    <col min="14586" max="14586" width="15.3984375" style="4" bestFit="1" customWidth="1"/>
    <col min="14587" max="14587" width="11.1328125" style="4" bestFit="1" customWidth="1"/>
    <col min="14588" max="14588" width="14.59765625" style="4" bestFit="1" customWidth="1"/>
    <col min="14589" max="14589" width="17.3984375" style="4" bestFit="1" customWidth="1"/>
    <col min="14590" max="14590" width="17.59765625" style="4" bestFit="1" customWidth="1"/>
    <col min="14591" max="14591" width="14.73046875" style="4" bestFit="1" customWidth="1"/>
    <col min="14592" max="14592" width="14.3984375" style="4" bestFit="1" customWidth="1"/>
    <col min="14593" max="14593" width="12.1328125" style="4" bestFit="1" customWidth="1"/>
    <col min="14594" max="14594" width="12.3984375" style="4" bestFit="1" customWidth="1"/>
    <col min="14595" max="14596" width="13.86328125" style="4" bestFit="1" customWidth="1"/>
    <col min="14597" max="14597" width="14.86328125" style="4" bestFit="1" customWidth="1"/>
    <col min="14598" max="14598" width="12.1328125" style="4" bestFit="1" customWidth="1"/>
    <col min="14599" max="14599" width="12.3984375" style="4" bestFit="1" customWidth="1"/>
    <col min="14600" max="14601" width="13.86328125" style="4" bestFit="1" customWidth="1"/>
    <col min="14602" max="14602" width="14.86328125" style="4" bestFit="1" customWidth="1"/>
    <col min="14603" max="14841" width="9.1328125" style="4"/>
    <col min="14842" max="14842" width="15.3984375" style="4" bestFit="1" customWidth="1"/>
    <col min="14843" max="14843" width="11.1328125" style="4" bestFit="1" customWidth="1"/>
    <col min="14844" max="14844" width="14.59765625" style="4" bestFit="1" customWidth="1"/>
    <col min="14845" max="14845" width="17.3984375" style="4" bestFit="1" customWidth="1"/>
    <col min="14846" max="14846" width="17.59765625" style="4" bestFit="1" customWidth="1"/>
    <col min="14847" max="14847" width="14.73046875" style="4" bestFit="1" customWidth="1"/>
    <col min="14848" max="14848" width="14.3984375" style="4" bestFit="1" customWidth="1"/>
    <col min="14849" max="14849" width="12.1328125" style="4" bestFit="1" customWidth="1"/>
    <col min="14850" max="14850" width="12.3984375" style="4" bestFit="1" customWidth="1"/>
    <col min="14851" max="14852" width="13.86328125" style="4" bestFit="1" customWidth="1"/>
    <col min="14853" max="14853" width="14.86328125" style="4" bestFit="1" customWidth="1"/>
    <col min="14854" max="14854" width="12.1328125" style="4" bestFit="1" customWidth="1"/>
    <col min="14855" max="14855" width="12.3984375" style="4" bestFit="1" customWidth="1"/>
    <col min="14856" max="14857" width="13.86328125" style="4" bestFit="1" customWidth="1"/>
    <col min="14858" max="14858" width="14.86328125" style="4" bestFit="1" customWidth="1"/>
    <col min="14859" max="15097" width="9.1328125" style="4"/>
    <col min="15098" max="15098" width="15.3984375" style="4" bestFit="1" customWidth="1"/>
    <col min="15099" max="15099" width="11.1328125" style="4" bestFit="1" customWidth="1"/>
    <col min="15100" max="15100" width="14.59765625" style="4" bestFit="1" customWidth="1"/>
    <col min="15101" max="15101" width="17.3984375" style="4" bestFit="1" customWidth="1"/>
    <col min="15102" max="15102" width="17.59765625" style="4" bestFit="1" customWidth="1"/>
    <col min="15103" max="15103" width="14.73046875" style="4" bestFit="1" customWidth="1"/>
    <col min="15104" max="15104" width="14.3984375" style="4" bestFit="1" customWidth="1"/>
    <col min="15105" max="15105" width="12.1328125" style="4" bestFit="1" customWidth="1"/>
    <col min="15106" max="15106" width="12.3984375" style="4" bestFit="1" customWidth="1"/>
    <col min="15107" max="15108" width="13.86328125" style="4" bestFit="1" customWidth="1"/>
    <col min="15109" max="15109" width="14.86328125" style="4" bestFit="1" customWidth="1"/>
    <col min="15110" max="15110" width="12.1328125" style="4" bestFit="1" customWidth="1"/>
    <col min="15111" max="15111" width="12.3984375" style="4" bestFit="1" customWidth="1"/>
    <col min="15112" max="15113" width="13.86328125" style="4" bestFit="1" customWidth="1"/>
    <col min="15114" max="15114" width="14.86328125" style="4" bestFit="1" customWidth="1"/>
    <col min="15115" max="15353" width="9.1328125" style="4"/>
    <col min="15354" max="15354" width="15.3984375" style="4" bestFit="1" customWidth="1"/>
    <col min="15355" max="15355" width="11.1328125" style="4" bestFit="1" customWidth="1"/>
    <col min="15356" max="15356" width="14.59765625" style="4" bestFit="1" customWidth="1"/>
    <col min="15357" max="15357" width="17.3984375" style="4" bestFit="1" customWidth="1"/>
    <col min="15358" max="15358" width="17.59765625" style="4" bestFit="1" customWidth="1"/>
    <col min="15359" max="15359" width="14.73046875" style="4" bestFit="1" customWidth="1"/>
    <col min="15360" max="15360" width="14.3984375" style="4" bestFit="1" customWidth="1"/>
    <col min="15361" max="15361" width="12.1328125" style="4" bestFit="1" customWidth="1"/>
    <col min="15362" max="15362" width="12.3984375" style="4" bestFit="1" customWidth="1"/>
    <col min="15363" max="15364" width="13.86328125" style="4" bestFit="1" customWidth="1"/>
    <col min="15365" max="15365" width="14.86328125" style="4" bestFit="1" customWidth="1"/>
    <col min="15366" max="15366" width="12.1328125" style="4" bestFit="1" customWidth="1"/>
    <col min="15367" max="15367" width="12.3984375" style="4" bestFit="1" customWidth="1"/>
    <col min="15368" max="15369" width="13.86328125" style="4" bestFit="1" customWidth="1"/>
    <col min="15370" max="15370" width="14.86328125" style="4" bestFit="1" customWidth="1"/>
    <col min="15371" max="15609" width="9.1328125" style="4"/>
    <col min="15610" max="15610" width="15.3984375" style="4" bestFit="1" customWidth="1"/>
    <col min="15611" max="15611" width="11.1328125" style="4" bestFit="1" customWidth="1"/>
    <col min="15612" max="15612" width="14.59765625" style="4" bestFit="1" customWidth="1"/>
    <col min="15613" max="15613" width="17.3984375" style="4" bestFit="1" customWidth="1"/>
    <col min="15614" max="15614" width="17.59765625" style="4" bestFit="1" customWidth="1"/>
    <col min="15615" max="15615" width="14.73046875" style="4" bestFit="1" customWidth="1"/>
    <col min="15616" max="15616" width="14.3984375" style="4" bestFit="1" customWidth="1"/>
    <col min="15617" max="15617" width="12.1328125" style="4" bestFit="1" customWidth="1"/>
    <col min="15618" max="15618" width="12.3984375" style="4" bestFit="1" customWidth="1"/>
    <col min="15619" max="15620" width="13.86328125" style="4" bestFit="1" customWidth="1"/>
    <col min="15621" max="15621" width="14.86328125" style="4" bestFit="1" customWidth="1"/>
    <col min="15622" max="15622" width="12.1328125" style="4" bestFit="1" customWidth="1"/>
    <col min="15623" max="15623" width="12.3984375" style="4" bestFit="1" customWidth="1"/>
    <col min="15624" max="15625" width="13.86328125" style="4" bestFit="1" customWidth="1"/>
    <col min="15626" max="15626" width="14.86328125" style="4" bestFit="1" customWidth="1"/>
    <col min="15627" max="15865" width="9.1328125" style="4"/>
    <col min="15866" max="15866" width="15.3984375" style="4" bestFit="1" customWidth="1"/>
    <col min="15867" max="15867" width="11.1328125" style="4" bestFit="1" customWidth="1"/>
    <col min="15868" max="15868" width="14.59765625" style="4" bestFit="1" customWidth="1"/>
    <col min="15869" max="15869" width="17.3984375" style="4" bestFit="1" customWidth="1"/>
    <col min="15870" max="15870" width="17.59765625" style="4" bestFit="1" customWidth="1"/>
    <col min="15871" max="15871" width="14.73046875" style="4" bestFit="1" customWidth="1"/>
    <col min="15872" max="15872" width="14.3984375" style="4" bestFit="1" customWidth="1"/>
    <col min="15873" max="15873" width="12.1328125" style="4" bestFit="1" customWidth="1"/>
    <col min="15874" max="15874" width="12.3984375" style="4" bestFit="1" customWidth="1"/>
    <col min="15875" max="15876" width="13.86328125" style="4" bestFit="1" customWidth="1"/>
    <col min="15877" max="15877" width="14.86328125" style="4" bestFit="1" customWidth="1"/>
    <col min="15878" max="15878" width="12.1328125" style="4" bestFit="1" customWidth="1"/>
    <col min="15879" max="15879" width="12.3984375" style="4" bestFit="1" customWidth="1"/>
    <col min="15880" max="15881" width="13.86328125" style="4" bestFit="1" customWidth="1"/>
    <col min="15882" max="15882" width="14.86328125" style="4" bestFit="1" customWidth="1"/>
    <col min="15883" max="16121" width="9.1328125" style="4"/>
    <col min="16122" max="16122" width="15.3984375" style="4" bestFit="1" customWidth="1"/>
    <col min="16123" max="16123" width="11.1328125" style="4" bestFit="1" customWidth="1"/>
    <col min="16124" max="16124" width="14.59765625" style="4" bestFit="1" customWidth="1"/>
    <col min="16125" max="16125" width="17.3984375" style="4" bestFit="1" customWidth="1"/>
    <col min="16126" max="16126" width="17.59765625" style="4" bestFit="1" customWidth="1"/>
    <col min="16127" max="16127" width="14.73046875" style="4" bestFit="1" customWidth="1"/>
    <col min="16128" max="16128" width="14.3984375" style="4" bestFit="1" customWidth="1"/>
    <col min="16129" max="16129" width="12.1328125" style="4" bestFit="1" customWidth="1"/>
    <col min="16130" max="16130" width="12.3984375" style="4" bestFit="1" customWidth="1"/>
    <col min="16131" max="16132" width="13.86328125" style="4" bestFit="1" customWidth="1"/>
    <col min="16133" max="16133" width="14.86328125" style="4" bestFit="1" customWidth="1"/>
    <col min="16134" max="16134" width="12.1328125" style="4" bestFit="1" customWidth="1"/>
    <col min="16135" max="16135" width="12.3984375" style="4" bestFit="1" customWidth="1"/>
    <col min="16136" max="16137" width="13.86328125" style="4" bestFit="1" customWidth="1"/>
    <col min="16138" max="16138" width="14.86328125" style="4" bestFit="1" customWidth="1"/>
    <col min="16139" max="16378" width="9.1328125" style="4"/>
    <col min="16379" max="16384" width="9.1328125" style="4" customWidth="1"/>
  </cols>
  <sheetData>
    <row r="1" spans="1:18">
      <c r="A1" s="57" t="s">
        <v>323</v>
      </c>
      <c r="B1" s="87" t="s">
        <v>324</v>
      </c>
      <c r="C1" s="58" t="s">
        <v>232</v>
      </c>
      <c r="D1" s="58" t="s">
        <v>233</v>
      </c>
      <c r="E1" s="58" t="s">
        <v>234</v>
      </c>
      <c r="F1" s="58" t="s">
        <v>235</v>
      </c>
      <c r="G1" s="58" t="s">
        <v>237</v>
      </c>
      <c r="H1" s="58" t="s">
        <v>236</v>
      </c>
      <c r="I1" s="58" t="s">
        <v>238</v>
      </c>
      <c r="J1" s="58" t="s">
        <v>239</v>
      </c>
      <c r="K1" s="58" t="s">
        <v>240</v>
      </c>
      <c r="L1" s="58" t="s">
        <v>241</v>
      </c>
      <c r="M1" s="58" t="s">
        <v>242</v>
      </c>
      <c r="N1" s="58" t="s">
        <v>243</v>
      </c>
      <c r="O1" s="58" t="s">
        <v>244</v>
      </c>
      <c r="P1" s="58" t="s">
        <v>245</v>
      </c>
      <c r="Q1" s="58" t="s">
        <v>246</v>
      </c>
      <c r="R1" s="58" t="s">
        <v>247</v>
      </c>
    </row>
    <row r="2" spans="1:18">
      <c r="A2" s="60" t="s">
        <v>5</v>
      </c>
      <c r="B2" s="76" t="s">
        <v>6</v>
      </c>
      <c r="C2" s="61">
        <f>IFERROR((d_DL/(Rad_Spec!V2*d_IFD_ow*d_EF_ow))*1,".")</f>
        <v>0.15877143930437787</v>
      </c>
      <c r="D2" s="61">
        <f>IFERROR((d_DL/(Rad_Spec!AN2*d_IRA_ow*(1/d_PEFm_pp)*d_SLF*d_ET_ow*d_EF_ow))*1,".")</f>
        <v>1.823787899199526E-5</v>
      </c>
      <c r="E2" s="61">
        <f>IFERROR((d_DL/(Rad_Spec!AN2*d_IRA_ow*(1/d_PEF)*d_SLF*d_ET_ow*d_EF_ow))*1,".")</f>
        <v>1.3333580060559857E-2</v>
      </c>
      <c r="F2" s="61">
        <f>IFERROR((d_DL/(Rad_Spec!AY2*d_GSF_s*d_Fam*d_Foffset*acf!C2*d_ET_ow*(1/24)*d_EF_ow*(1/365)))*1,".")</f>
        <v>315.38654293145311</v>
      </c>
      <c r="G2" s="61">
        <f t="shared" ref="G2" si="0">(IF(AND(C2&lt;&gt;".",E2&lt;&gt;".",F2&lt;&gt;"."),1/((1/C2)+(1/E2)+(1/F2)),IF(AND(C2&lt;&gt;".",E2&lt;&gt;".",F2="."), 1/((1/C2)+(1/E2)),IF(AND(C2&lt;&gt;".",E2=".",F2&lt;&gt;"."),1/((1/C2)+(1/F2)),IF(AND(C2=".",E2&lt;&gt;".",F2&lt;&gt;"."),1/((1/E2)+(1/F2)),IF(AND(C2&lt;&gt;".",E2=".",F2="."),1/(1/C2),IF(AND(C2=".",E2&lt;&gt;".",F2="."),1/(1/E2),IF(AND(C2=".",E2=".",F2&lt;&gt;"."),1/(1/F2),IF(AND(C2=".",E2=".",F2="."),".")))))))))</f>
        <v>1.2300101079308982E-2</v>
      </c>
      <c r="H2" s="61">
        <f t="shared" ref="H2" si="1">(IF(AND(C2&lt;&gt;".",D2&lt;&gt;".",F2&lt;&gt;"."),1/((1/C2)+(1/D2)+(1/F2)),IF(AND(C2&lt;&gt;".",D2&lt;&gt;".",F2="."), 1/((1/C2)+(1/D2)),IF(AND(C2&lt;&gt;".",D2=".",F2&lt;&gt;"."),1/((1/C2)+(1/F2)),IF(AND(C2=".",D2&lt;&gt;".",F2&lt;&gt;"."),1/((1/D2)+(1/F2)),IF(AND(C2&lt;&gt;".",D2=".",F2="."),1/(1/C2),IF(AND(C2=".",D2&lt;&gt;".",F2="."),1/(1/D2),IF(AND(C2=".",D2=".",F2&lt;&gt;"."),1/(1/F2),IF(AND(C2=".",D2=".",F2="."),".")))))))))</f>
        <v>1.8235783215594774E-5</v>
      </c>
      <c r="I2" s="74">
        <f>IFERROR((d_DL/(Rad_Spec!AV2*d_GSF_s*d_Fam*d_Foffset*Fsurf!C2*d_EF_ow*(1/365)*d_ET_ow*(1/24)))*1,".")</f>
        <v>65.336715798999833</v>
      </c>
      <c r="J2" s="61">
        <f>IFERROR((d_DL/(Rad_Spec!AZ2*d_GSF_s*d_Fam*d_Foffset*Fsurf!C2*d_EF_ow*(1/365)*d_ET_ow*(1/24)))*1,".")</f>
        <v>236.75147978382779</v>
      </c>
      <c r="K2" s="61">
        <f>IFERROR((d_DL/(Rad_Spec!BA2*d_GSF_s*d_Fam*d_Foffset*Fsurf!C2*d_EF_ow*(1/365)*d_ET_ow*(1/24)))*1,".")</f>
        <v>90.638679270181129</v>
      </c>
      <c r="L2" s="61">
        <f>IFERROR((d_DL/(Rad_Spec!BB2*d_GSF_s*d_Fam*d_Foffset*Fsurf!C2*d_EF_ow*(1/365)*d_ET_ow*(1/24)))*1,".")</f>
        <v>67.237420258607102</v>
      </c>
      <c r="M2" s="61">
        <f>IFERROR((d_DL/(Rad_Spec!AY2*d_GSF_s*d_Fam*d_Foffset*Fsurf!C2*d_EF_ow*(1/365)*d_ET_ow*(1/24)))*1,".")</f>
        <v>223.8371489932243</v>
      </c>
      <c r="N2" s="61">
        <f>IFERROR((d_DL/(Rad_Spec!AV2*d_GSF_s*d_Fam*d_Foffset*acf!D2*d_ET_ow*(1/24)*d_EF_ow*(1/365)))*1,".")</f>
        <v>92.059432560790768</v>
      </c>
      <c r="O2" s="61">
        <f>IFERROR((d_DL/(Rad_Spec!AZ2*d_GSF_s*d_Fam*d_Foffset*acf!E2*d_ET_ow*(1/24)*d_EF_ow*(1/365)))*1,".")</f>
        <v>333.58283501541337</v>
      </c>
      <c r="P2" s="61">
        <f>IFERROR((d_DL/(Rad_Spec!BA2*d_GSF_s*d_Fam*d_Foffset*acf!F2*d_ET_ow*(1/24)*d_EF_ow*(1/365)))*1,".")</f>
        <v>127.70989909168522</v>
      </c>
      <c r="Q2" s="61">
        <f>IFERROR((d_DL/(Rad_Spec!BB2*d_GSF_s*d_Fam*d_Foffset*acf!G2*d_ET_ow*(1/24)*d_EF_ow*(1/365)))*1,".")</f>
        <v>94.737525144377415</v>
      </c>
      <c r="R2" s="61">
        <f>IFERROR((d_DL/(Rad_Spec!AY2*d_GSF_s*d_Fam*d_Foffset*acf!C2*d_ET_ow*(1/24)*d_EF_ow*(1/365)))*1,".")</f>
        <v>315.38654293145311</v>
      </c>
    </row>
    <row r="3" spans="1:18">
      <c r="A3" s="62" t="s">
        <v>7</v>
      </c>
      <c r="B3" s="76" t="s">
        <v>8</v>
      </c>
      <c r="C3" s="61">
        <f>IFERROR((d_DL/(Rad_Spec!V3*d_IFD_ow*d_EF_ow))*1,".")</f>
        <v>3.0042046848769533E-2</v>
      </c>
      <c r="D3" s="61">
        <f>IFERROR((d_DL/(Rad_Spec!AN3*d_IRA_ow*(1/d_PEFm_pp)*d_SLF*d_ET_ow*d_EF_ow))*1,".")</f>
        <v>1.7066639056729509E-6</v>
      </c>
      <c r="E3" s="61">
        <f>IFERROR((d_DL/(Rad_Spec!AN3*d_IRA_ow*(1/d_PEF)*d_SLF*d_ET_ow*d_EF_ow))*1,".")</f>
        <v>1.2477295102542251E-3</v>
      </c>
      <c r="F3" s="61">
        <f>IFERROR((d_DL/(Rad_Spec!AY3*d_GSF_s*d_Fam*d_Foffset*acf!C3*d_ET_ow*(1/24)*d_EF_ow*(1/365)))*1,".")</f>
        <v>190.96799847225606</v>
      </c>
      <c r="G3" s="61">
        <f t="shared" ref="G3" si="2">(IF(AND(C3&lt;&gt;".",E3&lt;&gt;".",F3&lt;&gt;"."),1/((1/C3)+(1/E3)+(1/F3)),IF(AND(C3&lt;&gt;".",E3&lt;&gt;".",F3="."), 1/((1/C3)+(1/E3)),IF(AND(C3&lt;&gt;".",E3=".",F3&lt;&gt;"."),1/((1/C3)+(1/F3)),IF(AND(C3=".",E3&lt;&gt;".",F3&lt;&gt;"."),1/((1/E3)+(1/F3)),IF(AND(C3&lt;&gt;".",E3=".",F3="."),1/(1/C3),IF(AND(C3=".",E3&lt;&gt;".",F3="."),1/(1/E3),IF(AND(C3=".",E3=".",F3&lt;&gt;"."),1/(1/F3),IF(AND(C3=".",E3=".",F3="."),".")))))))))</f>
        <v>1.1979667999993248E-3</v>
      </c>
      <c r="H3" s="61">
        <f t="shared" ref="H3" si="3">(IF(AND(C3&lt;&gt;".",D3&lt;&gt;".",F3&lt;&gt;"."),1/((1/C3)+(1/D3)+(1/F3)),IF(AND(C3&lt;&gt;".",D3&lt;&gt;".",F3="."), 1/((1/C3)+(1/D3)),IF(AND(C3&lt;&gt;".",D3=".",F3&lt;&gt;"."),1/((1/C3)+(1/F3)),IF(AND(C3=".",D3&lt;&gt;".",F3&lt;&gt;"."),1/((1/D3)+(1/F3)),IF(AND(C3&lt;&gt;".",D3=".",F3="."),1/(1/C3),IF(AND(C3=".",D3&lt;&gt;".",F3="."),1/(1/D3),IF(AND(C3=".",D3=".",F3&lt;&gt;"."),1/(1/F3),IF(AND(C3=".",D3=".",F3="."),".")))))))))</f>
        <v>1.7065669417609665E-6</v>
      </c>
      <c r="I3" s="74">
        <f>IFERROR((d_DL/(Rad_Spec!AV3*d_GSF_s*d_Fam*d_Foffset*Fsurf!C3*d_EF_ow*(1/365)*d_ET_ow*(1/24)))*1,".")</f>
        <v>93.98326670936801</v>
      </c>
      <c r="J3" s="61">
        <f>IFERROR((d_DL/(Rad_Spec!AZ3*d_GSF_s*d_Fam*d_Foffset*Fsurf!C3*d_EF_ow*(1/365)*d_ET_ow*(1/24)))*1,".")</f>
        <v>190.84357219555341</v>
      </c>
      <c r="K3" s="61">
        <f>IFERROR((d_DL/(Rad_Spec!BA3*d_GSF_s*d_Fam*d_Foffset*Fsurf!C3*d_EF_ow*(1/365)*d_ET_ow*(1/24)))*1,".")</f>
        <v>101.09551391980669</v>
      </c>
      <c r="L3" s="61">
        <f>IFERROR((d_DL/(Rad_Spec!BB3*d_GSF_s*d_Fam*d_Foffset*Fsurf!C3*d_EF_ow*(1/365)*d_ET_ow*(1/24)))*1,".")</f>
        <v>93.98326670936801</v>
      </c>
      <c r="M3" s="61">
        <f>IFERROR((d_DL/(Rad_Spec!AY3*d_GSF_s*d_Fam*d_Foffset*Fsurf!C3*d_EF_ow*(1/365)*d_ET_ow*(1/24)))*1,".")</f>
        <v>137.09116903966694</v>
      </c>
      <c r="N3" s="61">
        <f>IFERROR((d_DL/(Rad_Spec!AV3*d_GSF_s*d_Fam*d_Foffset*acf!D3*d_ET_ow*(1/24)*d_EF_ow*(1/365)))*1,".")</f>
        <v>130.91869052614965</v>
      </c>
      <c r="O3" s="61">
        <f>IFERROR((d_DL/(Rad_Spec!AZ3*d_GSF_s*d_Fam*d_Foffset*acf!E3*d_ET_ow*(1/24)*d_EF_ow*(1/365)))*1,".")</f>
        <v>265.84509606840595</v>
      </c>
      <c r="P3" s="61">
        <f>IFERROR((d_DL/(Rad_Spec!BA3*d_GSF_s*d_Fam*d_Foffset*acf!F3*d_ET_ow*(1/24)*d_EF_ow*(1/365)))*1,".")</f>
        <v>140.8260508902907</v>
      </c>
      <c r="Q3" s="61">
        <f>IFERROR((d_DL/(Rad_Spec!BB3*d_GSF_s*d_Fam*d_Foffset*acf!G3*d_ET_ow*(1/24)*d_EF_ow*(1/365)))*1,".")</f>
        <v>130.91869052614965</v>
      </c>
      <c r="R3" s="61">
        <f>IFERROR((d_DL/(Rad_Spec!AY3*d_GSF_s*d_Fam*d_Foffset*acf!C3*d_ET_ow*(1/24)*d_EF_ow*(1/365)))*1,".")</f>
        <v>190.96799847225606</v>
      </c>
    </row>
    <row r="4" spans="1:18">
      <c r="A4" s="60" t="s">
        <v>9</v>
      </c>
      <c r="B4" s="88" t="s">
        <v>6</v>
      </c>
      <c r="C4" s="61" t="str">
        <f>IFERROR((d_DL/(Rad_Spec!V4*d_IFD_ow*d_EF_ow))*1,".")</f>
        <v>.</v>
      </c>
      <c r="D4" s="61" t="str">
        <f>IFERROR((d_DL/(Rad_Spec!AN4*d_IRA_ow*(1/d_PEFm_pp)*d_SLF*d_ET_ow*d_EF_ow))*1,".")</f>
        <v>.</v>
      </c>
      <c r="E4" s="61" t="str">
        <f>IFERROR((d_DL/(Rad_Spec!AN4*d_IRA_ow*(1/d_PEF)*d_SLF*d_ET_ow*d_EF_ow))*1,".")</f>
        <v>.</v>
      </c>
      <c r="F4" s="61">
        <f>IFERROR((d_DL/(Rad_Spec!AY4*d_GSF_s*d_Fam*d_Foffset*acf!C4*d_ET_ow*(1/24)*d_EF_ow*(1/365)))*1,".")</f>
        <v>18339.658003062468</v>
      </c>
      <c r="G4" s="61">
        <f t="shared" ref="G4:G13" si="4">(IF(AND(C4&lt;&gt;".",E4&lt;&gt;".",F4&lt;&gt;"."),1/((1/C4)+(1/E4)+(1/F4)),IF(AND(C4&lt;&gt;".",E4&lt;&gt;".",F4="."), 1/((1/C4)+(1/E4)),IF(AND(C4&lt;&gt;".",E4=".",F4&lt;&gt;"."),1/((1/C4)+(1/F4)),IF(AND(C4=".",E4&lt;&gt;".",F4&lt;&gt;"."),1/((1/E4)+(1/F4)),IF(AND(C4&lt;&gt;".",E4=".",F4="."),1/(1/C4),IF(AND(C4=".",E4&lt;&gt;".",F4="."),1/(1/E4),IF(AND(C4=".",E4=".",F4&lt;&gt;"."),1/(1/F4),IF(AND(C4=".",E4=".",F4="."),".")))))))))</f>
        <v>18339.658003062468</v>
      </c>
      <c r="H4" s="61">
        <f t="shared" ref="H4:H13" si="5">(IF(AND(C4&lt;&gt;".",D4&lt;&gt;".",F4&lt;&gt;"."),1/((1/C4)+(1/D4)+(1/F4)),IF(AND(C4&lt;&gt;".",D4&lt;&gt;".",F4="."), 1/((1/C4)+(1/D4)),IF(AND(C4&lt;&gt;".",D4=".",F4&lt;&gt;"."),1/((1/C4)+(1/F4)),IF(AND(C4=".",D4&lt;&gt;".",F4&lt;&gt;"."),1/((1/D4)+(1/F4)),IF(AND(C4&lt;&gt;".",D4=".",F4="."),1/(1/C4),IF(AND(C4=".",D4&lt;&gt;".",F4="."),1/(1/D4),IF(AND(C4=".",D4=".",F4&lt;&gt;"."),1/(1/F4),IF(AND(C4=".",D4=".",F4="."),".")))))))))</f>
        <v>18339.658003062468</v>
      </c>
      <c r="I4" s="74">
        <f>IFERROR((d_DL/(Rad_Spec!AV4*d_GSF_s*d_Fam*d_Foffset*Fsurf!C4*d_EF_ow*(1/365)*d_ET_ow*(1/24)))*1,".")</f>
        <v>3385.1536361715898</v>
      </c>
      <c r="J4" s="61">
        <f>IFERROR((d_DL/(Rad_Spec!AZ4*d_GSF_s*d_Fam*d_Foffset*Fsurf!C4*d_EF_ow*(1/365)*d_ET_ow*(1/24)))*1,".")</f>
        <v>14927.587215062216</v>
      </c>
      <c r="K4" s="61">
        <f>IFERROR((d_DL/(Rad_Spec!BA4*d_GSF_s*d_Fam*d_Foffset*Fsurf!C4*d_EF_ow*(1/365)*d_ET_ow*(1/24)))*1,".")</f>
        <v>5347.1954203207933</v>
      </c>
      <c r="L4" s="61">
        <f>IFERROR((d_DL/(Rad_Spec!BB4*d_GSF_s*d_Fam*d_Foffset*Fsurf!C4*d_EF_ow*(1/365)*d_ET_ow*(1/24)))*1,".")</f>
        <v>3618.809021833265</v>
      </c>
      <c r="M4" s="61">
        <f>IFERROR((d_DL/(Rad_Spec!AY4*d_GSF_s*d_Fam*d_Foffset*Fsurf!C4*d_EF_ow*(1/365)*d_ET_ow*(1/24)))*1,".")</f>
        <v>15131.731025629104</v>
      </c>
      <c r="N4" s="61">
        <f>IFERROR((d_DL/(Rad_Spec!AV4*d_GSF_s*d_Fam*d_Foffset*acf!D4*d_ET_ow*(1/24)*d_EF_ow*(1/365)))*1,".")</f>
        <v>4102.8062070399656</v>
      </c>
      <c r="O4" s="61">
        <f>IFERROR((d_DL/(Rad_Spec!AZ4*d_GSF_s*d_Fam*d_Foffset*acf!E4*d_ET_ow*(1/24)*d_EF_ow*(1/365)))*1,".")</f>
        <v>18092.235704655406</v>
      </c>
      <c r="P4" s="61">
        <f>IFERROR((d_DL/(Rad_Spec!BA4*d_GSF_s*d_Fam*d_Foffset*acf!F4*d_ET_ow*(1/24)*d_EF_ow*(1/365)))*1,".")</f>
        <v>6480.8008494288024</v>
      </c>
      <c r="Q4" s="61">
        <f>IFERROR((d_DL/(Rad_Spec!BB4*d_GSF_s*d_Fam*d_Foffset*acf!G4*d_ET_ow*(1/24)*d_EF_ow*(1/365)))*1,".")</f>
        <v>4385.9965344619168</v>
      </c>
      <c r="R4" s="61">
        <f>IFERROR((d_DL/(Rad_Spec!AY4*d_GSF_s*d_Fam*d_Foffset*acf!C4*d_ET_ow*(1/24)*d_EF_ow*(1/365)))*1,".")</f>
        <v>18339.658003062468</v>
      </c>
    </row>
    <row r="5" spans="1:18">
      <c r="A5" s="60" t="s">
        <v>10</v>
      </c>
      <c r="B5" s="88" t="s">
        <v>6</v>
      </c>
      <c r="C5" s="61" t="str">
        <f>IFERROR((d_DL/(Rad_Spec!V5*d_IFD_ow*d_EF_ow))*1,".")</f>
        <v>.</v>
      </c>
      <c r="D5" s="61" t="str">
        <f>IFERROR((d_DL/(Rad_Spec!AN5*d_IRA_ow*(1/d_PEFm_pp)*d_SLF*d_ET_ow*d_EF_ow))*1,".")</f>
        <v>.</v>
      </c>
      <c r="E5" s="61" t="str">
        <f>IFERROR((d_DL/(Rad_Spec!AN5*d_IRA_ow*(1/d_PEF)*d_SLF*d_ET_ow*d_EF_ow))*1,".")</f>
        <v>.</v>
      </c>
      <c r="F5" s="61">
        <f>IFERROR((d_DL/(Rad_Spec!AY5*d_GSF_s*d_Fam*d_Foffset*acf!C5*d_ET_ow*(1/24)*d_EF_ow*(1/365)))*1,".")</f>
        <v>37005.354370623834</v>
      </c>
      <c r="G5" s="61">
        <f t="shared" si="4"/>
        <v>37005.354370623834</v>
      </c>
      <c r="H5" s="61">
        <f t="shared" si="5"/>
        <v>37005.354370623834</v>
      </c>
      <c r="I5" s="74">
        <f>IFERROR((d_DL/(Rad_Spec!AV5*d_GSF_s*d_Fam*d_Foffset*Fsurf!C5*d_EF_ow*(1/365)*d_ET_ow*(1/24)))*1,".")</f>
        <v>58478.641140948086</v>
      </c>
      <c r="J5" s="61">
        <f>IFERROR((d_DL/(Rad_Spec!AZ5*d_GSF_s*d_Fam*d_Foffset*Fsurf!C5*d_EF_ow*(1/365)*d_ET_ow*(1/24)))*1,".")</f>
        <v>103116.18378699722</v>
      </c>
      <c r="K5" s="61">
        <f>IFERROR((d_DL/(Rad_Spec!BA5*d_GSF_s*d_Fam*d_Foffset*Fsurf!C5*d_EF_ow*(1/365)*d_ET_ow*(1/24)))*1,".")</f>
        <v>73530.105738407321</v>
      </c>
      <c r="L5" s="61">
        <f>IFERROR((d_DL/(Rad_Spec!BB5*d_GSF_s*d_Fam*d_Foffset*Fsurf!C5*d_EF_ow*(1/365)*d_ET_ow*(1/24)))*1,".")</f>
        <v>60932.29041958927</v>
      </c>
      <c r="M5" s="61">
        <f>IFERROR((d_DL/(Rad_Spec!AY5*d_GSF_s*d_Fam*d_Foffset*Fsurf!C5*d_EF_ow*(1/365)*d_ET_ow*(1/24)))*1,".")</f>
        <v>22277.47085856953</v>
      </c>
      <c r="N5" s="61">
        <f>IFERROR((d_DL/(Rad_Spec!AV5*d_GSF_s*d_Fam*d_Foffset*acf!D5*d_ET_ow*(1/24)*d_EF_ow*(1/365)))*1,".")</f>
        <v>97139.520561908226</v>
      </c>
      <c r="O5" s="61">
        <f>IFERROR((d_DL/(Rad_Spec!AZ5*d_GSF_s*d_Fam*d_Foffset*acf!E5*d_ET_ow*(1/24)*d_EF_ow*(1/365)))*1,".")</f>
        <v>171287.43862395646</v>
      </c>
      <c r="P5" s="61">
        <f>IFERROR((d_DL/(Rad_Spec!BA5*d_GSF_s*d_Fam*d_Foffset*acf!F5*d_ET_ow*(1/24)*d_EF_ow*(1/365)))*1,".")</f>
        <v>122141.67564324324</v>
      </c>
      <c r="Q5" s="61">
        <f>IFERROR((d_DL/(Rad_Spec!BB5*d_GSF_s*d_Fam*d_Foffset*acf!G5*d_ET_ow*(1/24)*d_EF_ow*(1/365)))*1,".")</f>
        <v>101215.30464142885</v>
      </c>
      <c r="R5" s="61">
        <f>IFERROR((d_DL/(Rad_Spec!AY5*d_GSF_s*d_Fam*d_Foffset*acf!C5*d_ET_ow*(1/24)*d_EF_ow*(1/365)))*1,".")</f>
        <v>37005.354370623834</v>
      </c>
    </row>
    <row r="6" spans="1:18">
      <c r="A6" s="60" t="s">
        <v>11</v>
      </c>
      <c r="B6" s="88" t="s">
        <v>6</v>
      </c>
      <c r="C6" s="61" t="str">
        <f>IFERROR((d_DL/(Rad_Spec!V6*d_IFD_ow*d_EF_ow))*1,".")</f>
        <v>.</v>
      </c>
      <c r="D6" s="61" t="str">
        <f>IFERROR((d_DL/(Rad_Spec!AN6*d_IRA_ow*(1/d_PEFm_pp)*d_SLF*d_ET_ow*d_EF_ow))*1,".")</f>
        <v>.</v>
      </c>
      <c r="E6" s="61" t="str">
        <f>IFERROR((d_DL/(Rad_Spec!AN6*d_IRA_ow*(1/d_PEF)*d_SLF*d_ET_ow*d_EF_ow))*1,".")</f>
        <v>.</v>
      </c>
      <c r="F6" s="61">
        <f>IFERROR((d_DL/(Rad_Spec!AY6*d_GSF_s*d_Fam*d_Foffset*acf!C6*d_ET_ow*(1/24)*d_EF_ow*(1/365)))*1,".")</f>
        <v>7.2150820913261375</v>
      </c>
      <c r="G6" s="61">
        <f t="shared" si="4"/>
        <v>7.2150820913261375</v>
      </c>
      <c r="H6" s="61">
        <f t="shared" si="5"/>
        <v>7.2150820913261375</v>
      </c>
      <c r="I6" s="74">
        <f>IFERROR((d_DL/(Rad_Spec!AV6*d_GSF_s*d_Fam*d_Foffset*Fsurf!C6*d_EF_ow*(1/365)*d_ET_ow*(1/24)))*1,".")</f>
        <v>1.2095649479875477</v>
      </c>
      <c r="J6" s="61">
        <f>IFERROR((d_DL/(Rad_Spec!AZ6*d_GSF_s*d_Fam*d_Foffset*Fsurf!C6*d_EF_ow*(1/365)*d_ET_ow*(1/24)))*1,".")</f>
        <v>6.0814237662707251</v>
      </c>
      <c r="K6" s="61">
        <f>IFERROR((d_DL/(Rad_Spec!BA6*d_GSF_s*d_Fam*d_Foffset*Fsurf!C6*d_EF_ow*(1/365)*d_ET_ow*(1/24)))*1,".")</f>
        <v>2.1255461707353991</v>
      </c>
      <c r="L6" s="61">
        <f>IFERROR((d_DL/(Rad_Spec!BB6*d_GSF_s*d_Fam*d_Foffset*Fsurf!C6*d_EF_ow*(1/365)*d_ET_ow*(1/24)))*1,".")</f>
        <v>1.3598214632655035</v>
      </c>
      <c r="M6" s="61">
        <f>IFERROR((d_DL/(Rad_Spec!AY6*d_GSF_s*d_Fam*d_Foffset*Fsurf!C6*d_EF_ow*(1/365)*d_ET_ow*(1/24)))*1,".")</f>
        <v>6.0630941943917129</v>
      </c>
      <c r="N6" s="61">
        <f>IFERROR((d_DL/(Rad_Spec!AV6*d_GSF_s*d_Fam*d_Foffset*acf!D6*d_ET_ow*(1/24)*d_EF_ow*(1/365)))*1,".")</f>
        <v>1.4393822881051814</v>
      </c>
      <c r="O6" s="61">
        <f>IFERROR((d_DL/(Rad_Spec!AZ6*d_GSF_s*d_Fam*d_Foffset*acf!E6*d_ET_ow*(1/24)*d_EF_ow*(1/365)))*1,".")</f>
        <v>7.2368942818621633</v>
      </c>
      <c r="P6" s="61">
        <f>IFERROR((d_DL/(Rad_Spec!BA6*d_GSF_s*d_Fam*d_Foffset*acf!F6*d_ET_ow*(1/24)*d_EF_ow*(1/365)))*1,".")</f>
        <v>2.5293999431751248</v>
      </c>
      <c r="Q6" s="61">
        <f>IFERROR((d_DL/(Rad_Spec!BB6*d_GSF_s*d_Fam*d_Foffset*acf!G6*d_ET_ow*(1/24)*d_EF_ow*(1/365)))*1,".")</f>
        <v>1.6181875412859494</v>
      </c>
      <c r="R6" s="61">
        <f>IFERROR((d_DL/(Rad_Spec!AY6*d_GSF_s*d_Fam*d_Foffset*acf!C6*d_ET_ow*(1/24)*d_EF_ow*(1/365)))*1,".")</f>
        <v>7.2150820913261375</v>
      </c>
    </row>
    <row r="7" spans="1:18">
      <c r="A7" s="60" t="s">
        <v>12</v>
      </c>
      <c r="B7" s="88" t="s">
        <v>6</v>
      </c>
      <c r="C7" s="61">
        <f>IFERROR((d_DL/(Rad_Spec!V7*d_IFD_ow*d_EF_ow))*1,".")</f>
        <v>4.6783034787396831</v>
      </c>
      <c r="D7" s="61">
        <f>IFERROR((d_DL/(Rad_Spec!AN7*d_IRA_ow*(1/d_PEFm_pp)*d_SLF*d_ET_ow*d_EF_ow))*1,".")</f>
        <v>1.1467378708665513E-3</v>
      </c>
      <c r="E7" s="61">
        <f>IFERROR((d_DL/(Rad_Spec!AN7*d_IRA_ow*(1/d_PEF)*d_SLF*d_ET_ow*d_EF_ow))*1,".")</f>
        <v>0.83837167778040733</v>
      </c>
      <c r="F7" s="61">
        <f>IFERROR((d_DL/(Rad_Spec!AY7*d_GSF_s*d_Fam*d_Foffset*acf!C7*d_ET_ow*(1/24)*d_EF_ow*(1/365)))*1,".")</f>
        <v>118.60690503405074</v>
      </c>
      <c r="G7" s="61">
        <f t="shared" si="4"/>
        <v>0.70672761687622843</v>
      </c>
      <c r="H7" s="61">
        <f t="shared" si="5"/>
        <v>1.1464457717241187E-3</v>
      </c>
      <c r="I7" s="74">
        <f>IFERROR((d_DL/(Rad_Spec!AV7*d_GSF_s*d_Fam*d_Foffset*Fsurf!C7*d_EF_ow*(1/365)*d_ET_ow*(1/24)))*1,".")</f>
        <v>709.07075283199663</v>
      </c>
      <c r="J7" s="61">
        <f>IFERROR((d_DL/(Rad_Spec!AZ7*d_GSF_s*d_Fam*d_Foffset*Fsurf!C7*d_EF_ow*(1/365)*d_ET_ow*(1/24)))*1,".")</f>
        <v>1236.6531582129462</v>
      </c>
      <c r="K7" s="61">
        <f>IFERROR((d_DL/(Rad_Spec!BA7*d_GSF_s*d_Fam*d_Foffset*Fsurf!C7*d_EF_ow*(1/365)*d_ET_ow*(1/24)))*1,".")</f>
        <v>854.97008469043215</v>
      </c>
      <c r="L7" s="61">
        <f>IFERROR((d_DL/(Rad_Spec!BB7*d_GSF_s*d_Fam*d_Foffset*Fsurf!C7*d_EF_ow*(1/365)*d_ET_ow*(1/24)))*1,".")</f>
        <v>723.89453163684664</v>
      </c>
      <c r="M7" s="61">
        <f>IFERROR((d_DL/(Rad_Spec!AY7*d_GSF_s*d_Fam*d_Foffset*Fsurf!C7*d_EF_ow*(1/365)*d_ET_ow*(1/24)))*1,".")</f>
        <v>94.582858878828318</v>
      </c>
      <c r="N7" s="61">
        <f>IFERROR((d_DL/(Rad_Spec!AV7*d_GSF_s*d_Fam*d_Foffset*acf!D7*d_ET_ow*(1/24)*d_EF_ow*(1/365)))*1,".")</f>
        <v>889.17472405132378</v>
      </c>
      <c r="O7" s="61">
        <f>IFERROR((d_DL/(Rad_Spec!AZ7*d_GSF_s*d_Fam*d_Foffset*acf!E7*d_ET_ow*(1/24)*d_EF_ow*(1/365)))*1,".")</f>
        <v>1550.7630603990349</v>
      </c>
      <c r="P7" s="61">
        <f>IFERROR((d_DL/(Rad_Spec!BA7*d_GSF_s*d_Fam*d_Foffset*acf!F7*d_ET_ow*(1/24)*d_EF_ow*(1/365)))*1,".")</f>
        <v>1072.1324862018018</v>
      </c>
      <c r="Q7" s="61">
        <f>IFERROR((d_DL/(Rad_Spec!BB7*d_GSF_s*d_Fam*d_Foffset*acf!G7*d_ET_ow*(1/24)*d_EF_ow*(1/365)))*1,".")</f>
        <v>907.76374267260553</v>
      </c>
      <c r="R7" s="61">
        <f>IFERROR((d_DL/(Rad_Spec!AY7*d_GSF_s*d_Fam*d_Foffset*acf!C7*d_ET_ow*(1/24)*d_EF_ow*(1/365)))*1,".")</f>
        <v>118.60690503405074</v>
      </c>
    </row>
    <row r="8" spans="1:18">
      <c r="A8" s="60" t="s">
        <v>13</v>
      </c>
      <c r="B8" s="88" t="s">
        <v>6</v>
      </c>
      <c r="C8" s="61">
        <f>IFERROR((d_DL/(Rad_Spec!V8*d_IFD_ow*d_EF_ow))*1,".")</f>
        <v>30.952411904792854</v>
      </c>
      <c r="D8" s="61">
        <f>IFERROR((d_DL/(Rad_Spec!AN8*d_IRA_ow*(1/d_PEFm_pp)*d_SLF*d_ET_ow*d_EF_ow))*1,".")</f>
        <v>4.7161613844089153E-3</v>
      </c>
      <c r="E8" s="61">
        <f>IFERROR((d_DL/(Rad_Spec!AN8*d_IRA_ow*(1/d_PEF)*d_SLF*d_ET_ow*d_EF_ow))*1,".")</f>
        <v>3.4479511255194226</v>
      </c>
      <c r="F8" s="61">
        <f>IFERROR((d_DL/(Rad_Spec!AY8*d_GSF_s*d_Fam*d_Foffset*acf!C8*d_ET_ow*(1/24)*d_EF_ow*(1/365)))*1,".")</f>
        <v>25.384770528629154</v>
      </c>
      <c r="G8" s="61">
        <f t="shared" si="4"/>
        <v>2.7645030064268243</v>
      </c>
      <c r="H8" s="61">
        <f t="shared" si="5"/>
        <v>4.714567129118493E-3</v>
      </c>
      <c r="I8" s="74">
        <f>IFERROR((d_DL/(Rad_Spec!AV8*d_GSF_s*d_Fam*d_Foffset*Fsurf!C8*d_EF_ow*(1/365)*d_ET_ow*(1/24)))*1,".")</f>
        <v>5.8364142564930148</v>
      </c>
      <c r="J8" s="61">
        <f>IFERROR((d_DL/(Rad_Spec!AZ8*d_GSF_s*d_Fam*d_Foffset*Fsurf!C8*d_EF_ow*(1/365)*d_ET_ow*(1/24)))*1,".")</f>
        <v>27.016357816219241</v>
      </c>
      <c r="K8" s="61">
        <f>IFERROR((d_DL/(Rad_Spec!BA8*d_GSF_s*d_Fam*d_Foffset*Fsurf!C8*d_EF_ow*(1/365)*d_ET_ow*(1/24)))*1,".")</f>
        <v>9.674776785537972</v>
      </c>
      <c r="L8" s="61">
        <f>IFERROR((d_DL/(Rad_Spec!BB8*d_GSF_s*d_Fam*d_Foffset*Fsurf!C8*d_EF_ow*(1/365)*d_ET_ow*(1/24)))*1,".")</f>
        <v>6.3732950931437102</v>
      </c>
      <c r="M8" s="61">
        <f>IFERROR((d_DL/(Rad_Spec!AY8*d_GSF_s*d_Fam*d_Foffset*Fsurf!C8*d_EF_ow*(1/365)*d_ET_ow*(1/24)))*1,".")</f>
        <v>20.927263420139447</v>
      </c>
      <c r="N8" s="61">
        <f>IFERROR((d_DL/(Rad_Spec!AV8*d_GSF_s*d_Fam*d_Foffset*acf!D8*d_ET_ow*(1/24)*d_EF_ow*(1/365)))*1,".")</f>
        <v>7.0795704931260266</v>
      </c>
      <c r="O8" s="61">
        <f>IFERROR((d_DL/(Rad_Spec!AZ8*d_GSF_s*d_Fam*d_Foffset*acf!E8*d_ET_ow*(1/24)*d_EF_ow*(1/365)))*1,".")</f>
        <v>32.77084203107394</v>
      </c>
      <c r="P8" s="61">
        <f>IFERROR((d_DL/(Rad_Spec!BA8*d_GSF_s*d_Fam*d_Foffset*acf!F8*d_ET_ow*(1/24)*d_EF_ow*(1/365)))*1,".")</f>
        <v>11.73550424085756</v>
      </c>
      <c r="Q8" s="61">
        <f>IFERROR((d_DL/(Rad_Spec!BB8*d_GSF_s*d_Fam*d_Foffset*acf!G8*d_ET_ow*(1/24)*d_EF_ow*(1/365)))*1,".")</f>
        <v>7.7308069479833188</v>
      </c>
      <c r="R8" s="61">
        <f>IFERROR((d_DL/(Rad_Spec!AY8*d_GSF_s*d_Fam*d_Foffset*acf!C8*d_ET_ow*(1/24)*d_EF_ow*(1/365)))*1,".")</f>
        <v>25.384770528629154</v>
      </c>
    </row>
    <row r="9" spans="1:18">
      <c r="A9" s="60" t="s">
        <v>14</v>
      </c>
      <c r="B9" s="88" t="s">
        <v>6</v>
      </c>
      <c r="C9" s="61">
        <f>IFERROR((d_DL/(Rad_Spec!V9*d_IFD_ow*d_EF_ow))*1,".")</f>
        <v>54.719442474544515</v>
      </c>
      <c r="D9" s="61">
        <f>IFERROR((d_DL/(Rad_Spec!AN9*d_IRA_ow*(1/d_PEFm_pp)*d_SLF*d_ET_ow*d_EF_ow))*1,".")</f>
        <v>1.6925349667817242E-2</v>
      </c>
      <c r="E9" s="61">
        <f>IFERROR((d_DL/(Rad_Spec!AN9*d_IRA_ow*(1/d_PEF)*d_SLF*d_ET_ow*d_EF_ow))*1,".")</f>
        <v>12.373999462758912</v>
      </c>
      <c r="F9" s="61">
        <f>IFERROR((d_DL/(Rad_Spec!AY9*d_GSF_s*d_Fam*d_Foffset*acf!C9*d_ET_ow*(1/24)*d_EF_ow*(1/365)))*1,".")</f>
        <v>2.9317622300670294</v>
      </c>
      <c r="G9" s="61">
        <f t="shared" si="4"/>
        <v>2.2717904915931917</v>
      </c>
      <c r="H9" s="61">
        <f t="shared" si="5"/>
        <v>1.6823025146552387E-2</v>
      </c>
      <c r="I9" s="74">
        <f>IFERROR((d_DL/(Rad_Spec!AV9*d_GSF_s*d_Fam*d_Foffset*Fsurf!C9*d_EF_ow*(1/365)*d_ET_ow*(1/24)))*1,".")</f>
        <v>0.46127921484262041</v>
      </c>
      <c r="J9" s="61">
        <f>IFERROR((d_DL/(Rad_Spec!AZ9*d_GSF_s*d_Fam*d_Foffset*Fsurf!C9*d_EF_ow*(1/365)*d_ET_ow*(1/24)))*1,".")</f>
        <v>2.5867607346105674</v>
      </c>
      <c r="K9" s="61">
        <f>IFERROR((d_DL/(Rad_Spec!BA9*d_GSF_s*d_Fam*d_Foffset*Fsurf!C9*d_EF_ow*(1/365)*d_ET_ow*(1/24)))*1,".")</f>
        <v>0.89510133356365618</v>
      </c>
      <c r="L9" s="61">
        <f>IFERROR((d_DL/(Rad_Spec!BB9*d_GSF_s*d_Fam*d_Foffset*Fsurf!C9*d_EF_ow*(1/365)*d_ET_ow*(1/24)))*1,".")</f>
        <v>0.55285670602461134</v>
      </c>
      <c r="M9" s="61">
        <f>IFERROR((d_DL/(Rad_Spec!AY9*d_GSF_s*d_Fam*d_Foffset*Fsurf!C9*d_EF_ow*(1/365)*d_ET_ow*(1/24)))*1,".")</f>
        <v>2.5383222771143106</v>
      </c>
      <c r="N9" s="61">
        <f>IFERROR((d_DL/(Rad_Spec!AV9*d_GSF_s*d_Fam*d_Foffset*acf!D9*d_ET_ow*(1/24)*d_EF_ow*(1/365)))*1,".")</f>
        <v>0.53277749314322664</v>
      </c>
      <c r="O9" s="61">
        <f>IFERROR((d_DL/(Rad_Spec!AZ9*d_GSF_s*d_Fam*d_Foffset*acf!E9*d_ET_ow*(1/24)*d_EF_ow*(1/365)))*1,".")</f>
        <v>2.9877086484752047</v>
      </c>
      <c r="P9" s="61">
        <f>IFERROR((d_DL/(Rad_Spec!BA9*d_GSF_s*d_Fam*d_Foffset*acf!F9*d_ET_ow*(1/24)*d_EF_ow*(1/365)))*1,".")</f>
        <v>1.0338420402660231</v>
      </c>
      <c r="Q9" s="61">
        <f>IFERROR((d_DL/(Rad_Spec!BB9*d_GSF_s*d_Fam*d_Foffset*acf!G9*d_ET_ow*(1/24)*d_EF_ow*(1/365)))*1,".")</f>
        <v>0.6385494954584261</v>
      </c>
      <c r="R9" s="61">
        <f>IFERROR((d_DL/(Rad_Spec!AY9*d_GSF_s*d_Fam*d_Foffset*acf!C9*d_ET_ow*(1/24)*d_EF_ow*(1/365)))*1,".")</f>
        <v>2.9317622300670294</v>
      </c>
    </row>
    <row r="10" spans="1:18">
      <c r="A10" s="62" t="s">
        <v>15</v>
      </c>
      <c r="B10" s="88" t="s">
        <v>8</v>
      </c>
      <c r="C10" s="61">
        <f>IFERROR((d_DL/(Rad_Spec!V10*d_IFD_ow*d_EF_ow))*1,".")</f>
        <v>0.4506307027315431</v>
      </c>
      <c r="D10" s="61">
        <f>IFERROR((d_DL/(Rad_Spec!AN10*d_IRA_ow*(1/d_PEFm_pp)*d_SLF*d_ET_ow*d_EF_ow))*1,".")</f>
        <v>4.0149575334896036E-3</v>
      </c>
      <c r="E10" s="61">
        <f>IFERROR((d_DL/(Rad_Spec!AN10*d_IRA_ow*(1/d_PEF)*d_SLF*d_ET_ow*d_EF_ow))*1,".")</f>
        <v>2.9353061140513068</v>
      </c>
      <c r="F10" s="61">
        <f>IFERROR((d_DL/(Rad_Spec!AY10*d_GSF_s*d_Fam*d_Foffset*acf!C10*d_ET_ow*(1/24)*d_EF_ow*(1/365)))*1,".")</f>
        <v>1330.0646538962239</v>
      </c>
      <c r="G10" s="61">
        <f t="shared" si="4"/>
        <v>0.39054203826332989</v>
      </c>
      <c r="H10" s="61">
        <f t="shared" si="5"/>
        <v>3.9794896985719417E-3</v>
      </c>
      <c r="I10" s="74">
        <f>IFERROR((d_DL/(Rad_Spec!AV10*d_GSF_s*d_Fam*d_Foffset*Fsurf!C10*d_EF_ow*(1/365)*d_ET_ow*(1/24)))*1,".")</f>
        <v>4467.9081845112905</v>
      </c>
      <c r="J10" s="61">
        <f>IFERROR((d_DL/(Rad_Spec!AZ10*d_GSF_s*d_Fam*d_Foffset*Fsurf!C10*d_EF_ow*(1/365)*d_ET_ow*(1/24)))*1,".")</f>
        <v>9663.1502595244183</v>
      </c>
      <c r="K10" s="61">
        <f>IFERROR((d_DL/(Rad_Spec!BA10*d_GSF_s*d_Fam*d_Foffset*Fsurf!C10*d_EF_ow*(1/365)*d_ET_ow*(1/24)))*1,".")</f>
        <v>5540.2061487939991</v>
      </c>
      <c r="L10" s="61">
        <f>IFERROR((d_DL/(Rad_Spec!BB10*d_GSF_s*d_Fam*d_Foffset*Fsurf!C10*d_EF_ow*(1/365)*d_ET_ow*(1/24)))*1,".")</f>
        <v>4546.1210192510935</v>
      </c>
      <c r="M10" s="61">
        <f>IFERROR((d_DL/(Rad_Spec!AY10*d_GSF_s*d_Fam*d_Foffset*Fsurf!C10*d_EF_ow*(1/365)*d_ET_ow*(1/24)))*1,".")</f>
        <v>1060.6576187370208</v>
      </c>
      <c r="N10" s="61">
        <f>IFERROR((d_DL/(Rad_Spec!AV10*d_GSF_s*d_Fam*d_Foffset*acf!D10*d_ET_ow*(1/24)*d_EF_ow*(1/365)))*1,".")</f>
        <v>5602.756863377158</v>
      </c>
      <c r="O10" s="61">
        <f>IFERROR((d_DL/(Rad_Spec!AZ10*d_GSF_s*d_Fam*d_Foffset*acf!E10*d_ET_ow*(1/24)*d_EF_ow*(1/365)))*1,".")</f>
        <v>12117.590425443621</v>
      </c>
      <c r="P10" s="61">
        <f>IFERROR((d_DL/(Rad_Spec!BA10*d_GSF_s*d_Fam*d_Foffset*acf!F10*d_ET_ow*(1/24)*d_EF_ow*(1/365)))*1,".")</f>
        <v>6947.4185105876759</v>
      </c>
      <c r="Q10" s="61">
        <f>IFERROR((d_DL/(Rad_Spec!BB10*d_GSF_s*d_Fam*d_Foffset*acf!G10*d_ET_ow*(1/24)*d_EF_ow*(1/365)))*1,".")</f>
        <v>5700.8357581408718</v>
      </c>
      <c r="R10" s="61">
        <f>IFERROR((d_DL/(Rad_Spec!AY10*d_GSF_s*d_Fam*d_Foffset*acf!C10*d_ET_ow*(1/24)*d_EF_ow*(1/365)))*1,".")</f>
        <v>1330.0646538962239</v>
      </c>
    </row>
    <row r="11" spans="1:18">
      <c r="A11" s="60" t="s">
        <v>16</v>
      </c>
      <c r="B11" s="88" t="s">
        <v>6</v>
      </c>
      <c r="C11" s="61" t="str">
        <f>IFERROR((d_DL/(Rad_Spec!V11*d_IFD_ow*d_EF_ow))*1,".")</f>
        <v>.</v>
      </c>
      <c r="D11" s="61" t="str">
        <f>IFERROR((d_DL/(Rad_Spec!AN11*d_IRA_ow*(1/d_PEFm_pp)*d_SLF*d_ET_ow*d_EF_ow))*1,".")</f>
        <v>.</v>
      </c>
      <c r="E11" s="61" t="str">
        <f>IFERROR((d_DL/(Rad_Spec!AN11*d_IRA_ow*(1/d_PEF)*d_SLF*d_ET_ow*d_EF_ow))*1,".")</f>
        <v>.</v>
      </c>
      <c r="F11" s="61">
        <f>IFERROR((d_DL/(Rad_Spec!AY11*d_GSF_s*d_Fam*d_Foffset*acf!C11*d_ET_ow*(1/24)*d_EF_ow*(1/365)))*1,".")</f>
        <v>154.76216976562014</v>
      </c>
      <c r="G11" s="61">
        <f t="shared" si="4"/>
        <v>154.76216976562014</v>
      </c>
      <c r="H11" s="61">
        <f t="shared" si="5"/>
        <v>154.76216976562014</v>
      </c>
      <c r="I11" s="74">
        <f>IFERROR((d_DL/(Rad_Spec!AV11*d_GSF_s*d_Fam*d_Foffset*Fsurf!C11*d_EF_ow*(1/365)*d_ET_ow*(1/24)))*1,".")</f>
        <v>28.794104550196103</v>
      </c>
      <c r="J11" s="61">
        <f>IFERROR((d_DL/(Rad_Spec!AZ11*d_GSF_s*d_Fam*d_Foffset*Fsurf!C11*d_EF_ow*(1/365)*d_ET_ow*(1/24)))*1,".")</f>
        <v>120.05962891397559</v>
      </c>
      <c r="K11" s="61">
        <f>IFERROR((d_DL/(Rad_Spec!BA11*d_GSF_s*d_Fam*d_Foffset*Fsurf!C11*d_EF_ow*(1/365)*d_ET_ow*(1/24)))*1,".")</f>
        <v>42.950201975501727</v>
      </c>
      <c r="L11" s="61">
        <f>IFERROR((d_DL/(Rad_Spec!BB11*d_GSF_s*d_Fam*d_Foffset*Fsurf!C11*d_EF_ow*(1/365)*d_ET_ow*(1/24)))*1,".")</f>
        <v>29.927400210335019</v>
      </c>
      <c r="M11" s="61">
        <f>IFERROR((d_DL/(Rad_Spec!AY11*d_GSF_s*d_Fam*d_Foffset*Fsurf!C11*d_EF_ow*(1/365)*d_ET_ow*(1/24)))*1,".")</f>
        <v>121.95600454343587</v>
      </c>
      <c r="N11" s="61">
        <f>IFERROR((d_DL/(Rad_Spec!AV11*d_GSF_s*d_Fam*d_Foffset*acf!D11*d_ET_ow*(1/24)*d_EF_ow*(1/365)))*1,".")</f>
        <v>36.539718674198852</v>
      </c>
      <c r="O11" s="61">
        <f>IFERROR((d_DL/(Rad_Spec!AZ11*d_GSF_s*d_Fam*d_Foffset*acf!E11*d_ET_ow*(1/24)*d_EF_ow*(1/365)))*1,".")</f>
        <v>152.35566909183495</v>
      </c>
      <c r="P11" s="61">
        <f>IFERROR((d_DL/(Rad_Spec!BA11*d_GSF_s*d_Fam*d_Foffset*acf!F11*d_ET_ow*(1/24)*d_EF_ow*(1/365)))*1,".")</f>
        <v>54.503806306911677</v>
      </c>
      <c r="Q11" s="61">
        <f>IFERROR((d_DL/(Rad_Spec!BB11*d_GSF_s*d_Fam*d_Foffset*acf!G11*d_ET_ow*(1/24)*d_EF_ow*(1/365)))*1,".")</f>
        <v>37.97787086691514</v>
      </c>
      <c r="R11" s="61">
        <f>IFERROR((d_DL/(Rad_Spec!AY11*d_GSF_s*d_Fam*d_Foffset*acf!C11*d_ET_ow*(1/24)*d_EF_ow*(1/365)))*1,".")</f>
        <v>154.76216976562014</v>
      </c>
    </row>
    <row r="12" spans="1:18">
      <c r="A12" s="60" t="s">
        <v>17</v>
      </c>
      <c r="B12" s="88" t="s">
        <v>6</v>
      </c>
      <c r="C12" s="61" t="str">
        <f>IFERROR((d_DL/(Rad_Spec!V12*d_IFD_ow*d_EF_ow))*1,".")</f>
        <v>.</v>
      </c>
      <c r="D12" s="61" t="str">
        <f>IFERROR((d_DL/(Rad_Spec!AN12*d_IRA_ow*(1/d_PEFm_pp)*d_SLF*d_ET_ow*d_EF_ow))*1,".")</f>
        <v>.</v>
      </c>
      <c r="E12" s="61" t="str">
        <f>IFERROR((d_DL/(Rad_Spec!AN12*d_IRA_ow*(1/d_PEF)*d_SLF*d_ET_ow*d_EF_ow))*1,".")</f>
        <v>.</v>
      </c>
      <c r="F12" s="61">
        <f>IFERROR((d_DL/(Rad_Spec!AY12*d_GSF_s*d_Fam*d_Foffset*acf!C12*d_ET_ow*(1/24)*d_EF_ow*(1/365)))*1,".")</f>
        <v>27.940284340236111</v>
      </c>
      <c r="G12" s="61">
        <f t="shared" si="4"/>
        <v>27.940284340236111</v>
      </c>
      <c r="H12" s="61">
        <f t="shared" si="5"/>
        <v>27.940284340236111</v>
      </c>
      <c r="I12" s="74" t="str">
        <f>IFERROR((d_DL/(Rad_Spec!AV12*d_GSF_s*d_Fam*d_Foffset*Fsurf!C12*d_EF_ow*(1/365)*d_ET_ow*(1/24)))*1,".")</f>
        <v>.</v>
      </c>
      <c r="J12" s="61" t="str">
        <f>IFERROR((d_DL/(Rad_Spec!AZ12*d_GSF_s*d_Fam*d_Foffset*Fsurf!C12*d_EF_ow*(1/365)*d_ET_ow*(1/24)))*1,".")</f>
        <v>.</v>
      </c>
      <c r="K12" s="61" t="str">
        <f>IFERROR((d_DL/(Rad_Spec!BA12*d_GSF_s*d_Fam*d_Foffset*Fsurf!C12*d_EF_ow*(1/365)*d_ET_ow*(1/24)))*1,".")</f>
        <v>.</v>
      </c>
      <c r="L12" s="61" t="str">
        <f>IFERROR((d_DL/(Rad_Spec!BB12*d_GSF_s*d_Fam*d_Foffset*Fsurf!C12*d_EF_ow*(1/365)*d_ET_ow*(1/24)))*1,".")</f>
        <v>.</v>
      </c>
      <c r="M12" s="61" t="str">
        <f>IFERROR((d_DL/(Rad_Spec!AY12*d_GSF_s*d_Fam*d_Foffset*Fsurf!C12*d_EF_ow*(1/365)*d_ET_ow*(1/24)))*1,".")</f>
        <v>.</v>
      </c>
      <c r="N12" s="61">
        <f>IFERROR((d_DL/(Rad_Spec!AV12*d_GSF_s*d_Fam*d_Foffset*acf!D12*d_ET_ow*(1/24)*d_EF_ow*(1/365)))*1,".")</f>
        <v>7.9429327483852985</v>
      </c>
      <c r="O12" s="61">
        <f>IFERROR((d_DL/(Rad_Spec!AZ12*d_GSF_s*d_Fam*d_Foffset*acf!E12*d_ET_ow*(1/24)*d_EF_ow*(1/365)))*1,".")</f>
        <v>35.111616461864948</v>
      </c>
      <c r="P12" s="61">
        <f>IFERROR((d_DL/(Rad_Spec!BA12*d_GSF_s*d_Fam*d_Foffset*acf!F12*d_ET_ow*(1/24)*d_EF_ow*(1/365)))*1,".")</f>
        <v>12.585903098890716</v>
      </c>
      <c r="Q12" s="61">
        <f>IFERROR((d_DL/(Rad_Spec!BB12*d_GSF_s*d_Fam*d_Foffset*acf!G12*d_ET_ow*(1/24)*d_EF_ow*(1/365)))*1,".")</f>
        <v>8.4862603956689853</v>
      </c>
      <c r="R12" s="61">
        <f>IFERROR((d_DL/(Rad_Spec!AY12*d_GSF_s*d_Fam*d_Foffset*acf!C12*d_ET_ow*(1/24)*d_EF_ow*(1/365)))*1,".")</f>
        <v>27.940284340236111</v>
      </c>
    </row>
    <row r="13" spans="1:18">
      <c r="A13" s="60" t="s">
        <v>18</v>
      </c>
      <c r="B13" s="88" t="s">
        <v>6</v>
      </c>
      <c r="C13" s="61">
        <f>IFERROR((d_DL/(Rad_Spec!V13*d_IFD_ow*d_EF_ow))*1,".")</f>
        <v>5.7276425767747531E-2</v>
      </c>
      <c r="D13" s="61">
        <f>IFERROR((d_DL/(Rad_Spec!AN13*d_IRA_ow*(1/d_PEFm_pp)*d_SLF*d_ET_ow*d_EF_ow))*1,".")</f>
        <v>1.3287597551310833E-5</v>
      </c>
      <c r="E13" s="61">
        <f>IFERROR((d_DL/(Rad_Spec!AN13*d_IRA_ow*(1/d_PEF)*d_SLF*d_ET_ow*d_EF_ow))*1,".")</f>
        <v>9.7144654726936102E-3</v>
      </c>
      <c r="F13" s="61">
        <f>IFERROR((d_DL/(Rad_Spec!AY13*d_GSF_s*d_Fam*d_Foffset*acf!C13*d_ET_ow*(1/24)*d_EF_ow*(1/365)))*1,".")</f>
        <v>170.61894945472056</v>
      </c>
      <c r="G13" s="61">
        <f t="shared" si="4"/>
        <v>8.3053496591493584E-3</v>
      </c>
      <c r="H13" s="61">
        <f t="shared" si="5"/>
        <v>1.3284514633008985E-5</v>
      </c>
      <c r="I13" s="74">
        <f>IFERROR((d_DL/(Rad_Spec!AV13*d_GSF_s*d_Fam*d_Foffset*Fsurf!C13*d_EF_ow*(1/365)*d_ET_ow*(1/24)))*1,".")</f>
        <v>51.91024865347589</v>
      </c>
      <c r="J13" s="61">
        <f>IFERROR((d_DL/(Rad_Spec!AZ13*d_GSF_s*d_Fam*d_Foffset*Fsurf!C13*d_EF_ow*(1/365)*d_ET_ow*(1/24)))*1,".")</f>
        <v>155.29816055498202</v>
      </c>
      <c r="K13" s="61">
        <f>IFERROR((d_DL/(Rad_Spec!BA13*d_GSF_s*d_Fam*d_Foffset*Fsurf!C13*d_EF_ow*(1/365)*d_ET_ow*(1/24)))*1,".")</f>
        <v>65.160067365726732</v>
      </c>
      <c r="L13" s="61">
        <f>IFERROR((d_DL/(Rad_Spec!BB13*d_GSF_s*d_Fam*d_Foffset*Fsurf!C13*d_EF_ow*(1/365)*d_ET_ow*(1/24)))*1,".")</f>
        <v>52.055249348038664</v>
      </c>
      <c r="M13" s="61">
        <f>IFERROR((d_DL/(Rad_Spec!AY13*d_GSF_s*d_Fam*d_Foffset*Fsurf!C13*d_EF_ow*(1/365)*d_ET_ow*(1/24)))*1,".")</f>
        <v>122.04502822226078</v>
      </c>
      <c r="N13" s="61">
        <f>IFERROR((d_DL/(Rad_Spec!AV13*d_GSF_s*d_Fam*d_Foffset*acf!D13*d_ET_ow*(1/24)*d_EF_ow*(1/365)))*1,".")</f>
        <v>72.570527617559293</v>
      </c>
      <c r="O13" s="61">
        <f>IFERROR((d_DL/(Rad_Spec!AZ13*d_GSF_s*d_Fam*d_Foffset*acf!E13*d_ET_ow*(1/24)*d_EF_ow*(1/365)))*1,".")</f>
        <v>217.10682845586487</v>
      </c>
      <c r="P13" s="61">
        <f>IFERROR((d_DL/(Rad_Spec!BA13*d_GSF_s*d_Fam*d_Foffset*acf!F13*d_ET_ow*(1/24)*d_EF_ow*(1/365)))*1,".")</f>
        <v>91.093774177285965</v>
      </c>
      <c r="Q13" s="61">
        <f>IFERROR((d_DL/(Rad_Spec!BB13*d_GSF_s*d_Fam*d_Foffset*acf!G13*d_ET_ow*(1/24)*d_EF_ow*(1/365)))*1,".")</f>
        <v>72.773238588558058</v>
      </c>
      <c r="R13" s="61">
        <f>IFERROR((d_DL/(Rad_Spec!AY13*d_GSF_s*d_Fam*d_Foffset*acf!C13*d_ET_ow*(1/24)*d_EF_ow*(1/365)))*1,".")</f>
        <v>170.61894945472056</v>
      </c>
    </row>
    <row r="14" spans="1:18">
      <c r="A14" s="60" t="s">
        <v>19</v>
      </c>
      <c r="B14" s="88" t="s">
        <v>6</v>
      </c>
      <c r="C14" s="61">
        <f>IFERROR((d_DL/(Rad_Spec!V14*d_IFD_ow*d_EF_ow))*1,".")</f>
        <v>6.3442831854544366</v>
      </c>
      <c r="D14" s="61">
        <f>IFERROR((d_DL/(Rad_Spec!AN14*d_IRA_ow*(1/d_PEFm_pp)*d_SLF*d_ET_ow*d_EF_ow))*1,".")</f>
        <v>3.6715730075990459E-2</v>
      </c>
      <c r="E14" s="61">
        <f>IFERROR((d_DL/(Rad_Spec!AN14*d_IRA_ow*(1/d_PEF)*d_SLF*d_ET_ow*d_EF_ow))*1,".")</f>
        <v>26.842601964021821</v>
      </c>
      <c r="F14" s="61">
        <f>IFERROR((d_DL/(Rad_Spec!AY14*d_GSF_s*d_Fam*d_Foffset*acf!C14*d_ET_ow*(1/24)*d_EF_ow*(1/365)))*1,".")</f>
        <v>20.609417656906839</v>
      </c>
      <c r="G14" s="61">
        <f t="shared" ref="G14:G30" si="6">(IF(AND(C14&lt;&gt;".",E14&lt;&gt;".",F14&lt;&gt;"."),1/((1/C14)+(1/E14)+(1/F14)),IF(AND(C14&lt;&gt;".",E14&lt;&gt;".",F14="."), 1/((1/C14)+(1/E14)),IF(AND(C14&lt;&gt;".",E14=".",F14&lt;&gt;"."),1/((1/C14)+(1/F14)),IF(AND(C14=".",E14&lt;&gt;".",F14&lt;&gt;"."),1/((1/E14)+(1/F14)),IF(AND(C14&lt;&gt;".",E14=".",F14="."),1/(1/C14),IF(AND(C14=".",E14&lt;&gt;".",F14="."),1/(1/E14),IF(AND(C14=".",E14=".",F14&lt;&gt;"."),1/(1/F14),IF(AND(C14=".",E14=".",F14="."),".")))))))))</f>
        <v>4.1084982161687469</v>
      </c>
      <c r="H14" s="61">
        <f t="shared" ref="H14:H30" si="7">(IF(AND(C14&lt;&gt;".",D14&lt;&gt;".",F14&lt;&gt;"."),1/((1/C14)+(1/D14)+(1/F14)),IF(AND(C14&lt;&gt;".",D14&lt;&gt;".",F14="."), 1/((1/C14)+(1/D14)),IF(AND(C14&lt;&gt;".",D14=".",F14&lt;&gt;"."),1/((1/C14)+(1/F14)),IF(AND(C14=".",D14&lt;&gt;".",F14&lt;&gt;"."),1/((1/D14)+(1/F14)),IF(AND(C14&lt;&gt;".",D14=".",F14="."),1/(1/C14),IF(AND(C14=".",D14&lt;&gt;".",F14="."),1/(1/D14),IF(AND(C14=".",D14=".",F14&lt;&gt;"."),1/(1/F14),IF(AND(C14=".",D14=".",F14="."),".")))))))))</f>
        <v>3.6439926568555402E-2</v>
      </c>
      <c r="I14" s="74">
        <f>IFERROR((d_DL/(Rad_Spec!AV14*d_GSF_s*d_Fam*d_Foffset*Fsurf!C14*d_EF_ow*(1/365)*d_ET_ow*(1/24)))*1,".")</f>
        <v>3.6999487906813684</v>
      </c>
      <c r="J14" s="61">
        <f>IFERROR((d_DL/(Rad_Spec!AZ14*d_GSF_s*d_Fam*d_Foffset*Fsurf!C14*d_EF_ow*(1/365)*d_ET_ow*(1/24)))*1,".")</f>
        <v>15.877732999380672</v>
      </c>
      <c r="K14" s="61">
        <f>IFERROR((d_DL/(Rad_Spec!BA14*d_GSF_s*d_Fam*d_Foffset*Fsurf!C14*d_EF_ow*(1/365)*d_ET_ow*(1/24)))*1,".")</f>
        <v>5.7123855266893644</v>
      </c>
      <c r="L14" s="61">
        <f>IFERROR((d_DL/(Rad_Spec!BB14*d_GSF_s*d_Fam*d_Foffset*Fsurf!C14*d_EF_ow*(1/365)*d_ET_ow*(1/24)))*1,".")</f>
        <v>3.9078916490723756</v>
      </c>
      <c r="M14" s="61">
        <f>IFERROR((d_DL/(Rad_Spec!AY14*d_GSF_s*d_Fam*d_Foffset*Fsurf!C14*d_EF_ow*(1/365)*d_ET_ow*(1/24)))*1,".")</f>
        <v>15.951561653952663</v>
      </c>
      <c r="N14" s="61">
        <f>IFERROR((d_DL/(Rad_Spec!AV14*d_GSF_s*d_Fam*d_Foffset*acf!D14*d_ET_ow*(1/24)*d_EF_ow*(1/365)))*1,".")</f>
        <v>4.7803338375603275</v>
      </c>
      <c r="O14" s="61">
        <f>IFERROR((d_DL/(Rad_Spec!AZ14*d_GSF_s*d_Fam*d_Foffset*acf!E14*d_ET_ow*(1/24)*d_EF_ow*(1/365)))*1,".")</f>
        <v>20.514031035199832</v>
      </c>
      <c r="P14" s="61">
        <f>IFERROR((d_DL/(Rad_Spec!BA14*d_GSF_s*d_Fam*d_Foffset*acf!F14*d_ET_ow*(1/24)*d_EF_ow*(1/365)))*1,".")</f>
        <v>7.3804021004826588</v>
      </c>
      <c r="Q14" s="61">
        <f>IFERROR((d_DL/(Rad_Spec!BB14*d_GSF_s*d_Fam*d_Foffset*acf!G14*d_ET_ow*(1/24)*d_EF_ow*(1/365)))*1,".")</f>
        <v>5.0489960106015088</v>
      </c>
      <c r="R14" s="61">
        <f>IFERROR((d_DL/(Rad_Spec!AY14*d_GSF_s*d_Fam*d_Foffset*acf!C14*d_ET_ow*(1/24)*d_EF_ow*(1/365)))*1,".")</f>
        <v>20.609417656906839</v>
      </c>
    </row>
    <row r="15" spans="1:18">
      <c r="A15" s="60" t="s">
        <v>20</v>
      </c>
      <c r="B15" s="88" t="s">
        <v>6</v>
      </c>
      <c r="C15" s="61">
        <f>IFERROR((d_DL/(Rad_Spec!V15*d_IFD_ow*d_EF_ow))*1,".")</f>
        <v>108.08778760403855</v>
      </c>
      <c r="D15" s="61">
        <f>IFERROR((d_DL/(Rad_Spec!AN15*d_IRA_ow*(1/d_PEFm_pp)*d_SLF*d_ET_ow*d_EF_ow))*1,".")</f>
        <v>2.3986207614114115</v>
      </c>
      <c r="E15" s="61">
        <f>IFERROR((d_DL/(Rad_Spec!AN15*d_IRA_ow*(1/d_PEF)*d_SLF*d_ET_ow*d_EF_ow))*1,".")</f>
        <v>1753.6141111166119</v>
      </c>
      <c r="F15" s="61">
        <f>IFERROR((d_DL/(Rad_Spec!AY15*d_GSF_s*d_Fam*d_Foffset*acf!C15*d_ET_ow*(1/24)*d_EF_ow*(1/365)))*1,".")</f>
        <v>1450.0530709492098</v>
      </c>
      <c r="G15" s="61">
        <f t="shared" si="6"/>
        <v>95.13281657744588</v>
      </c>
      <c r="H15" s="61">
        <f t="shared" si="7"/>
        <v>2.3427563907291846</v>
      </c>
      <c r="I15" s="74">
        <f>IFERROR((d_DL/(Rad_Spec!AV15*d_GSF_s*d_Fam*d_Foffset*Fsurf!C15*d_EF_ow*(1/365)*d_ET_ow*(1/24)))*1,".")</f>
        <v>5155.2786744361047</v>
      </c>
      <c r="J15" s="61">
        <f>IFERROR((d_DL/(Rad_Spec!AZ15*d_GSF_s*d_Fam*d_Foffset*Fsurf!C15*d_EF_ow*(1/365)*d_ET_ow*(1/24)))*1,".")</f>
        <v>13149.223454416138</v>
      </c>
      <c r="K15" s="61">
        <f>IFERROR((d_DL/(Rad_Spec!BA15*d_GSF_s*d_Fam*d_Foffset*Fsurf!C15*d_EF_ow*(1/365)*d_ET_ow*(1/24)))*1,".")</f>
        <v>6512.7815228769596</v>
      </c>
      <c r="L15" s="61">
        <f>IFERROR((d_DL/(Rad_Spec!BB15*d_GSF_s*d_Fam*d_Foffset*Fsurf!C15*d_EF_ow*(1/365)*d_ET_ow*(1/24)))*1,".")</f>
        <v>5233.1922060396719</v>
      </c>
      <c r="M15" s="61">
        <f>IFERROR((d_DL/(Rad_Spec!AY15*d_GSF_s*d_Fam*d_Foffset*Fsurf!C15*d_EF_ow*(1/365)*d_ET_ow*(1/24)))*1,".")</f>
        <v>1040.7079456573276</v>
      </c>
      <c r="N15" s="61">
        <f>IFERROR((d_DL/(Rad_Spec!AV15*d_GSF_s*d_Fam*d_Foffset*acf!D15*d_ET_ow*(1/24)*d_EF_ow*(1/365)))*1,".")</f>
        <v>7183.0216197143045</v>
      </c>
      <c r="O15" s="61">
        <f>IFERROR((d_DL/(Rad_Spec!AZ15*d_GSF_s*d_Fam*d_Foffset*acf!E15*d_ET_ow*(1/24)*d_EF_ow*(1/365)))*1,".")</f>
        <v>18321.25134648649</v>
      </c>
      <c r="P15" s="61">
        <f>IFERROR((d_DL/(Rad_Spec!BA15*d_GSF_s*d_Fam*d_Foffset*acf!F15*d_ET_ow*(1/24)*d_EF_ow*(1/365)))*1,".")</f>
        <v>9074.4755885418945</v>
      </c>
      <c r="Q15" s="61">
        <f>IFERROR((d_DL/(Rad_Spec!BB15*d_GSF_s*d_Fam*d_Foffset*acf!G15*d_ET_ow*(1/24)*d_EF_ow*(1/365)))*1,".")</f>
        <v>7291.5811404152764</v>
      </c>
      <c r="R15" s="61">
        <f>IFERROR((d_DL/(Rad_Spec!AY15*d_GSF_s*d_Fam*d_Foffset*acf!C15*d_ET_ow*(1/24)*d_EF_ow*(1/365)))*1,".")</f>
        <v>1450.0530709492098</v>
      </c>
    </row>
    <row r="16" spans="1:18">
      <c r="A16" s="62" t="s">
        <v>21</v>
      </c>
      <c r="B16" s="88" t="s">
        <v>6</v>
      </c>
      <c r="C16" s="61">
        <f>IFERROR((d_DL/(Rad_Spec!V16*d_IFD_ow*d_EF_ow))*1,".")</f>
        <v>8.8054275246393452E-3</v>
      </c>
      <c r="D16" s="61">
        <f>IFERROR((d_DL/(Rad_Spec!AN16*d_IRA_ow*(1/d_PEFm_pp)*d_SLF*d_ET_ow*d_EF_ow))*1,".")</f>
        <v>2.7765129211694278E-5</v>
      </c>
      <c r="E16" s="61">
        <f>IFERROR((d_DL/(Rad_Spec!AN16*d_IRA_ow*(1/d_PEF)*d_SLF*d_ET_ow*d_EF_ow))*1,".")</f>
        <v>2.0298883077270229E-2</v>
      </c>
      <c r="F16" s="61">
        <f>IFERROR((d_DL/(Rad_Spec!AY16*d_GSF_s*d_Fam*d_Foffset*acf!C16*d_ET_ow*(1/24)*d_EF_ow*(1/365)))*1,".")</f>
        <v>1918.4803533157517</v>
      </c>
      <c r="G16" s="61">
        <f t="shared" si="6"/>
        <v>6.1413504699538218E-3</v>
      </c>
      <c r="H16" s="61">
        <f t="shared" si="7"/>
        <v>2.7677855452645613E-5</v>
      </c>
      <c r="I16" s="74">
        <f>IFERROR((d_DL/(Rad_Spec!AV16*d_GSF_s*d_Fam*d_Foffset*Fsurf!C16*d_EF_ow*(1/365)*d_ET_ow*(1/24)))*1,".")</f>
        <v>1551.7975921271195</v>
      </c>
      <c r="J16" s="61">
        <f>IFERROR((d_DL/(Rad_Spec!AZ16*d_GSF_s*d_Fam*d_Foffset*Fsurf!C16*d_EF_ow*(1/365)*d_ET_ow*(1/24)))*1,".")</f>
        <v>2441.0299201999628</v>
      </c>
      <c r="K16" s="61">
        <f>IFERROR((d_DL/(Rad_Spec!BA16*d_GSF_s*d_Fam*d_Foffset*Fsurf!C16*d_EF_ow*(1/365)*d_ET_ow*(1/24)))*1,".")</f>
        <v>1580.0120938021582</v>
      </c>
      <c r="L16" s="61">
        <f>IFERROR((d_DL/(Rad_Spec!BB16*d_GSF_s*d_Fam*d_Foffset*Fsurf!C16*d_EF_ow*(1/365)*d_ET_ow*(1/24)))*1,".")</f>
        <v>1551.7975921271195</v>
      </c>
      <c r="M16" s="61">
        <f>IFERROR((d_DL/(Rad_Spec!AY16*d_GSF_s*d_Fam*d_Foffset*Fsurf!C16*d_EF_ow*(1/365)*d_ET_ow*(1/24)))*1,".")</f>
        <v>1279.8401289631431</v>
      </c>
      <c r="N16" s="61">
        <f>IFERROR((d_DL/(Rad_Spec!AV16*d_GSF_s*d_Fam*d_Foffset*acf!D16*d_ET_ow*(1/24)*d_EF_ow*(1/365)))*1,".")</f>
        <v>2326.144590598552</v>
      </c>
      <c r="O16" s="61">
        <f>IFERROR((d_DL/(Rad_Spec!AZ16*d_GSF_s*d_Fam*d_Foffset*acf!E16*d_ET_ow*(1/24)*d_EF_ow*(1/365)))*1,".")</f>
        <v>3659.1038503797449</v>
      </c>
      <c r="P16" s="61">
        <f>IFERROR((d_DL/(Rad_Spec!BA16*d_GSF_s*d_Fam*d_Foffset*acf!F16*d_ET_ow*(1/24)*d_EF_ow*(1/365)))*1,".")</f>
        <v>2368.4381286094354</v>
      </c>
      <c r="Q16" s="61">
        <f>IFERROR((d_DL/(Rad_Spec!BB16*d_GSF_s*d_Fam*d_Foffset*acf!G16*d_ET_ow*(1/24)*d_EF_ow*(1/365)))*1,".")</f>
        <v>2326.144590598552</v>
      </c>
      <c r="R16" s="61">
        <f>IFERROR((d_DL/(Rad_Spec!AY16*d_GSF_s*d_Fam*d_Foffset*acf!C16*d_ET_ow*(1/24)*d_EF_ow*(1/365)))*1,".")</f>
        <v>1918.4803533157517</v>
      </c>
    </row>
    <row r="17" spans="1:18">
      <c r="A17" s="60" t="s">
        <v>22</v>
      </c>
      <c r="B17" s="88" t="s">
        <v>6</v>
      </c>
      <c r="C17" s="61">
        <f>IFERROR((d_DL/(Rad_Spec!V17*d_IFD_ow*d_EF_ow))*1,".")</f>
        <v>44.090486022654574</v>
      </c>
      <c r="D17" s="61">
        <f>IFERROR((d_DL/(Rad_Spec!AN17*d_IRA_ow*(1/d_PEFm_pp)*d_SLF*d_ET_ow*d_EF_ow))*1,".")</f>
        <v>1.3293300382877918E-2</v>
      </c>
      <c r="E17" s="61">
        <f>IFERROR((d_DL/(Rad_Spec!AN17*d_IRA_ow*(1/d_PEF)*d_SLF*d_ET_ow*d_EF_ow))*1,".")</f>
        <v>9.7186347711797438</v>
      </c>
      <c r="F17" s="61">
        <f>IFERROR((d_DL/(Rad_Spec!AY17*d_GSF_s*d_Fam*d_Foffset*acf!C17*d_ET_ow*(1/24)*d_EF_ow*(1/365)))*1,".")</f>
        <v>17.132108504918438</v>
      </c>
      <c r="G17" s="61">
        <f t="shared" si="6"/>
        <v>5.4363877570862424</v>
      </c>
      <c r="H17" s="61">
        <f t="shared" si="7"/>
        <v>1.3278993204396227E-2</v>
      </c>
      <c r="I17" s="74">
        <f>IFERROR((d_DL/(Rad_Spec!AV17*d_GSF_s*d_Fam*d_Foffset*Fsurf!C17*d_EF_ow*(1/365)*d_ET_ow*(1/24)))*1,".")</f>
        <v>3.1018806214405208</v>
      </c>
      <c r="J17" s="61">
        <f>IFERROR((d_DL/(Rad_Spec!AZ17*d_GSF_s*d_Fam*d_Foffset*Fsurf!C17*d_EF_ow*(1/365)*d_ET_ow*(1/24)))*1,".")</f>
        <v>13.917104388196467</v>
      </c>
      <c r="K17" s="61">
        <f>IFERROR((d_DL/(Rad_Spec!BA17*d_GSF_s*d_Fam*d_Foffset*Fsurf!C17*d_EF_ow*(1/365)*d_ET_ow*(1/24)))*1,".")</f>
        <v>4.935143400069669</v>
      </c>
      <c r="L17" s="61">
        <f>IFERROR((d_DL/(Rad_Spec!BB17*d_GSF_s*d_Fam*d_Foffset*Fsurf!C17*d_EF_ow*(1/365)*d_ET_ow*(1/24)))*1,".")</f>
        <v>3.3188643215094915</v>
      </c>
      <c r="M17" s="61">
        <f>IFERROR((d_DL/(Rad_Spec!AY17*d_GSF_s*d_Fam*d_Foffset*Fsurf!C17*d_EF_ow*(1/365)*d_ET_ow*(1/24)))*1,".")</f>
        <v>13.727651045607724</v>
      </c>
      <c r="N17" s="61">
        <f>IFERROR((d_DL/(Rad_Spec!AV17*d_GSF_s*d_Fam*d_Foffset*acf!D17*d_ET_ow*(1/24)*d_EF_ow*(1/365)))*1,".")</f>
        <v>3.871147015557769</v>
      </c>
      <c r="O17" s="61">
        <f>IFERROR((d_DL/(Rad_Spec!AZ17*d_GSF_s*d_Fam*d_Foffset*acf!E17*d_ET_ow*(1/24)*d_EF_ow*(1/365)))*1,".")</f>
        <v>17.368546276469189</v>
      </c>
      <c r="P17" s="61">
        <f>IFERROR((d_DL/(Rad_Spec!BA17*d_GSF_s*d_Fam*d_Foffset*acf!F17*d_ET_ow*(1/24)*d_EF_ow*(1/365)))*1,".")</f>
        <v>6.159058963286947</v>
      </c>
      <c r="Q17" s="61">
        <f>IFERROR((d_DL/(Rad_Spec!BB17*d_GSF_s*d_Fam*d_Foffset*acf!G17*d_ET_ow*(1/24)*d_EF_ow*(1/365)))*1,".")</f>
        <v>4.1419426732438449</v>
      </c>
      <c r="R17" s="61">
        <f>IFERROR((d_DL/(Rad_Spec!AY17*d_GSF_s*d_Fam*d_Foffset*acf!C17*d_ET_ow*(1/24)*d_EF_ow*(1/365)))*1,".")</f>
        <v>17.132108504918438</v>
      </c>
    </row>
    <row r="18" spans="1:18">
      <c r="A18" s="60" t="s">
        <v>23</v>
      </c>
      <c r="B18" s="88" t="s">
        <v>6</v>
      </c>
      <c r="C18" s="61">
        <f>IFERROR((d_DL/(Rad_Spec!V18*d_IFD_ow*d_EF_ow))*1,".")</f>
        <v>5.0649401298751952E-3</v>
      </c>
      <c r="D18" s="61">
        <f>IFERROR((d_DL/(Rad_Spec!AN18*d_IRA_ow*(1/d_PEFm_pp)*d_SLF*d_ET_ow*d_EF_ow))*1,".")</f>
        <v>3.5774301099683008E-5</v>
      </c>
      <c r="E18" s="61">
        <f>IFERROR((d_DL/(Rad_Spec!AN18*d_IRA_ow*(1/d_PEF)*d_SLF*d_ET_ow*d_EF_ow))*1,".")</f>
        <v>2.6154330118790488E-2</v>
      </c>
      <c r="F18" s="61">
        <f>IFERROR((d_DL/(Rad_Spec!AY18*d_GSF_s*d_Fam*d_Foffset*acf!C18*d_ET_ow*(1/24)*d_EF_ow*(1/365)))*1,".")</f>
        <v>451529.54085631034</v>
      </c>
      <c r="G18" s="61">
        <f t="shared" si="6"/>
        <v>4.2432162535717462E-3</v>
      </c>
      <c r="H18" s="61">
        <f t="shared" si="7"/>
        <v>3.5523394947075402E-5</v>
      </c>
      <c r="I18" s="74">
        <f>IFERROR((d_DL/(Rad_Spec!AV18*d_GSF_s*d_Fam*d_Foffset*Fsurf!C18*d_EF_ow*(1/365)*d_ET_ow*(1/24)))*1,".")</f>
        <v>73170.156027118574</v>
      </c>
      <c r="J18" s="61">
        <f>IFERROR((d_DL/(Rad_Spec!AZ18*d_GSF_s*d_Fam*d_Foffset*Fsurf!C18*d_EF_ow*(1/365)*d_ET_ow*(1/24)))*1,".")</f>
        <v>377088.51740938245</v>
      </c>
      <c r="K18" s="61">
        <f>IFERROR((d_DL/(Rad_Spec!BA18*d_GSF_s*d_Fam*d_Foffset*Fsurf!C18*d_EF_ow*(1/365)*d_ET_ow*(1/24)))*1,".")</f>
        <v>131532.06619160599</v>
      </c>
      <c r="L18" s="61">
        <f>IFERROR((d_DL/(Rad_Spec!BB18*d_GSF_s*d_Fam*d_Foffset*Fsurf!C18*d_EF_ow*(1/365)*d_ET_ow*(1/24)))*1,".")</f>
        <v>83702.223940112919</v>
      </c>
      <c r="M18" s="61">
        <f>IFERROR((d_DL/(Rad_Spec!AY18*d_GSF_s*d_Fam*d_Foffset*Fsurf!C18*d_EF_ow*(1/365)*d_ET_ow*(1/24)))*1,".")</f>
        <v>382976.70980178984</v>
      </c>
      <c r="N18" s="61">
        <f>IFERROR((d_DL/(Rad_Spec!AV18*d_GSF_s*d_Fam*d_Foffset*acf!D18*d_ET_ow*(1/24)*d_EF_ow*(1/365)))*1,".")</f>
        <v>86267.613955972789</v>
      </c>
      <c r="O18" s="61">
        <f>IFERROR((d_DL/(Rad_Spec!AZ18*d_GSF_s*d_Fam*d_Foffset*acf!E18*d_ET_ow*(1/24)*d_EF_ow*(1/365)))*1,".")</f>
        <v>444587.36202566186</v>
      </c>
      <c r="P18" s="61">
        <f>IFERROR((d_DL/(Rad_Spec!BA18*d_GSF_s*d_Fam*d_Foffset*acf!F18*d_ET_ow*(1/24)*d_EF_ow*(1/365)))*1,".")</f>
        <v>155076.30603990349</v>
      </c>
      <c r="Q18" s="61">
        <f>IFERROR((d_DL/(Rad_Spec!BB18*d_GSF_s*d_Fam*d_Foffset*acf!G18*d_ET_ow*(1/24)*d_EF_ow*(1/365)))*1,".")</f>
        <v>98684.922025393127</v>
      </c>
      <c r="R18" s="61">
        <f>IFERROR((d_DL/(Rad_Spec!AY18*d_GSF_s*d_Fam*d_Foffset*acf!C18*d_ET_ow*(1/24)*d_EF_ow*(1/365)))*1,".")</f>
        <v>451529.54085631034</v>
      </c>
    </row>
    <row r="19" spans="1:18">
      <c r="A19" s="60" t="s">
        <v>24</v>
      </c>
      <c r="B19" s="88" t="s">
        <v>6</v>
      </c>
      <c r="C19" s="61" t="str">
        <f>IFERROR((d_DL/(Rad_Spec!V19*d_IFD_ow*d_EF_ow))*1,".")</f>
        <v>.</v>
      </c>
      <c r="D19" s="61" t="str">
        <f>IFERROR((d_DL/(Rad_Spec!AN19*d_IRA_ow*(1/d_PEFm_pp)*d_SLF*d_ET_ow*d_EF_ow))*1,".")</f>
        <v>.</v>
      </c>
      <c r="E19" s="61" t="str">
        <f>IFERROR((d_DL/(Rad_Spec!AN19*d_IRA_ow*(1/d_PEF)*d_SLF*d_ET_ow*d_EF_ow))*1,".")</f>
        <v>.</v>
      </c>
      <c r="F19" s="61">
        <f>IFERROR((d_DL/(Rad_Spec!AY19*d_GSF_s*d_Fam*d_Foffset*acf!C19*d_ET_ow*(1/24)*d_EF_ow*(1/365)))*1,".")</f>
        <v>116613.51167213393</v>
      </c>
      <c r="G19" s="61">
        <f t="shared" si="6"/>
        <v>116613.51167213393</v>
      </c>
      <c r="H19" s="61">
        <f t="shared" si="7"/>
        <v>116613.51167213393</v>
      </c>
      <c r="I19" s="74" t="str">
        <f>IFERROR((d_DL/(Rad_Spec!AV19*d_GSF_s*d_Fam*d_Foffset*Fsurf!C19*d_EF_ow*(1/365)*d_ET_ow*(1/24)))*1,".")</f>
        <v>.</v>
      </c>
      <c r="J19" s="61" t="str">
        <f>IFERROR((d_DL/(Rad_Spec!AZ19*d_GSF_s*d_Fam*d_Foffset*Fsurf!C19*d_EF_ow*(1/365)*d_ET_ow*(1/24)))*1,".")</f>
        <v>.</v>
      </c>
      <c r="K19" s="61" t="str">
        <f>IFERROR((d_DL/(Rad_Spec!BA19*d_GSF_s*d_Fam*d_Foffset*Fsurf!C19*d_EF_ow*(1/365)*d_ET_ow*(1/24)))*1,".")</f>
        <v>.</v>
      </c>
      <c r="L19" s="61" t="str">
        <f>IFERROR((d_DL/(Rad_Spec!BB19*d_GSF_s*d_Fam*d_Foffset*Fsurf!C19*d_EF_ow*(1/365)*d_ET_ow*(1/24)))*1,".")</f>
        <v>.</v>
      </c>
      <c r="M19" s="61" t="str">
        <f>IFERROR((d_DL/(Rad_Spec!AY19*d_GSF_s*d_Fam*d_Foffset*Fsurf!C19*d_EF_ow*(1/365)*d_ET_ow*(1/24)))*1,".")</f>
        <v>.</v>
      </c>
      <c r="N19" s="61">
        <f>IFERROR((d_DL/(Rad_Spec!AV19*d_GSF_s*d_Fam*d_Foffset*acf!D19*d_ET_ow*(1/24)*d_EF_ow*(1/365)))*1,".")</f>
        <v>22459.32708164119</v>
      </c>
      <c r="O19" s="61">
        <f>IFERROR((d_DL/(Rad_Spec!AZ19*d_GSF_s*d_Fam*d_Foffset*acf!E19*d_ET_ow*(1/24)*d_EF_ow*(1/365)))*1,".")</f>
        <v>115277.96201196365</v>
      </c>
      <c r="P19" s="61">
        <f>IFERROR((d_DL/(Rad_Spec!BA19*d_GSF_s*d_Fam*d_Foffset*acf!F19*d_ET_ow*(1/24)*d_EF_ow*(1/365)))*1,".")</f>
        <v>40267.108832617901</v>
      </c>
      <c r="Q19" s="61">
        <f>IFERROR((d_DL/(Rad_Spec!BB19*d_GSF_s*d_Fam*d_Foffset*acf!G19*d_ET_ow*(1/24)*d_EF_ow*(1/365)))*1,".")</f>
        <v>25541.97981833704</v>
      </c>
      <c r="R19" s="61">
        <f>IFERROR((d_DL/(Rad_Spec!AY19*d_GSF_s*d_Fam*d_Foffset*acf!C19*d_ET_ow*(1/24)*d_EF_ow*(1/365)))*1,".")</f>
        <v>116613.51167213393</v>
      </c>
    </row>
    <row r="20" spans="1:18">
      <c r="A20" s="60" t="s">
        <v>25</v>
      </c>
      <c r="B20" s="88" t="s">
        <v>6</v>
      </c>
      <c r="C20" s="61" t="str">
        <f>IFERROR((d_DL/(Rad_Spec!V20*d_IFD_ow*d_EF_ow))*1,".")</f>
        <v>.</v>
      </c>
      <c r="D20" s="61" t="str">
        <f>IFERROR((d_DL/(Rad_Spec!AN20*d_IRA_ow*(1/d_PEFm_pp)*d_SLF*d_ET_ow*d_EF_ow))*1,".")</f>
        <v>.</v>
      </c>
      <c r="E20" s="61" t="str">
        <f>IFERROR((d_DL/(Rad_Spec!AN20*d_IRA_ow*(1/d_PEF)*d_SLF*d_ET_ow*d_EF_ow))*1,".")</f>
        <v>.</v>
      </c>
      <c r="F20" s="61">
        <f>IFERROR((d_DL/(Rad_Spec!AY20*d_GSF_s*d_Fam*d_Foffset*acf!C20*d_ET_ow*(1/24)*d_EF_ow*(1/365)))*1,".")</f>
        <v>52898.378229926064</v>
      </c>
      <c r="G20" s="61">
        <f t="shared" si="6"/>
        <v>52898.378229926064</v>
      </c>
      <c r="H20" s="61">
        <f t="shared" si="7"/>
        <v>52898.378229926064</v>
      </c>
      <c r="I20" s="74">
        <f>IFERROR((d_DL/(Rad_Spec!AV20*d_GSF_s*d_Fam*d_Foffset*Fsurf!C20*d_EF_ow*(1/365)*d_ET_ow*(1/24)))*1,".")</f>
        <v>8598.2051051322196</v>
      </c>
      <c r="J20" s="61">
        <f>IFERROR((d_DL/(Rad_Spec!AZ20*d_GSF_s*d_Fam*d_Foffset*Fsurf!C20*d_EF_ow*(1/365)*d_ET_ow*(1/24)))*1,".")</f>
        <v>44194.774240379615</v>
      </c>
      <c r="K20" s="61">
        <f>IFERROR((d_DL/(Rad_Spec!BA20*d_GSF_s*d_Fam*d_Foffset*Fsurf!C20*d_EF_ow*(1/365)*d_ET_ow*(1/24)))*1,".")</f>
        <v>15452.718265866999</v>
      </c>
      <c r="L20" s="61">
        <f>IFERROR((d_DL/(Rad_Spec!BB20*d_GSF_s*d_Fam*d_Foffset*Fsurf!C20*d_EF_ow*(1/365)*d_ET_ow*(1/24)))*1,".")</f>
        <v>9777.6049204379669</v>
      </c>
      <c r="M20" s="61">
        <f>IFERROR((d_DL/(Rad_Spec!AY20*d_GSF_s*d_Fam*d_Foffset*Fsurf!C20*d_EF_ow*(1/365)*d_ET_ow*(1/24)))*1,".")</f>
        <v>44867.157107655694</v>
      </c>
      <c r="N20" s="61">
        <f>IFERROR((d_DL/(Rad_Spec!AV20*d_GSF_s*d_Fam*d_Foffset*acf!D20*d_ET_ow*(1/24)*d_EF_ow*(1/365)))*1,".")</f>
        <v>10137.283818950889</v>
      </c>
      <c r="O20" s="61">
        <f>IFERROR((d_DL/(Rad_Spec!AZ20*d_GSF_s*d_Fam*d_Foffset*acf!E20*d_ET_ow*(1/24)*d_EF_ow*(1/365)))*1,".")</f>
        <v>52105.638829407566</v>
      </c>
      <c r="P20" s="61">
        <f>IFERROR((d_DL/(Rad_Spec!BA20*d_GSF_s*d_Fam*d_Foffset*acf!F20*d_ET_ow*(1/24)*d_EF_ow*(1/365)))*1,".")</f>
        <v>18218.754835457192</v>
      </c>
      <c r="Q20" s="61">
        <f>IFERROR((d_DL/(Rad_Spec!BB20*d_GSF_s*d_Fam*d_Foffset*acf!G20*d_ET_ow*(1/24)*d_EF_ow*(1/365)))*1,".")</f>
        <v>11527.796201196365</v>
      </c>
      <c r="R20" s="61">
        <f>IFERROR((d_DL/(Rad_Spec!AY20*d_GSF_s*d_Fam*d_Foffset*acf!C20*d_ET_ow*(1/24)*d_EF_ow*(1/365)))*1,".")</f>
        <v>52898.378229926064</v>
      </c>
    </row>
    <row r="21" spans="1:18">
      <c r="A21" s="60" t="s">
        <v>26</v>
      </c>
      <c r="B21" s="88" t="s">
        <v>6</v>
      </c>
      <c r="C21" s="61" t="str">
        <f>IFERROR((d_DL/(Rad_Spec!V21*d_IFD_ow*d_EF_ow))*1,".")</f>
        <v>.</v>
      </c>
      <c r="D21" s="61">
        <f>IFERROR((d_DL/(Rad_Spec!AN21*d_IRA_ow*(1/d_PEFm_pp)*d_SLF*d_ET_ow*d_EF_ow))*1,".")</f>
        <v>8.1294986593452898E-2</v>
      </c>
      <c r="E21" s="61">
        <f>IFERROR((d_DL/(Rad_Spec!AN21*d_IRA_ow*(1/d_PEF)*d_SLF*d_ET_ow*d_EF_ow))*1,".")</f>
        <v>59.43417064789714</v>
      </c>
      <c r="F21" s="61">
        <f>IFERROR((d_DL/(Rad_Spec!AY21*d_GSF_s*d_Fam*d_Foffset*acf!C21*d_ET_ow*(1/24)*d_EF_ow*(1/365)))*1,".")</f>
        <v>695589367.86886883</v>
      </c>
      <c r="G21" s="61">
        <f t="shared" si="6"/>
        <v>59.434165569584415</v>
      </c>
      <c r="H21" s="61">
        <f t="shared" si="7"/>
        <v>8.1294986583951775E-2</v>
      </c>
      <c r="I21" s="74">
        <f>IFERROR((d_DL/(Rad_Spec!AV21*d_GSF_s*d_Fam*d_Foffset*Fsurf!C21*d_EF_ow*(1/365)*d_ET_ow*(1/24)))*1,".")</f>
        <v>448075623.10519415</v>
      </c>
      <c r="J21" s="61">
        <f>IFERROR((d_DL/(Rad_Spec!AZ21*d_GSF_s*d_Fam*d_Foffset*Fsurf!C21*d_EF_ow*(1/365)*d_ET_ow*(1/24)))*1,".")</f>
        <v>954092059.54295647</v>
      </c>
      <c r="K21" s="61">
        <f>IFERROR((d_DL/(Rad_Spec!BA21*d_GSF_s*d_Fam*d_Foffset*Fsurf!C21*d_EF_ow*(1/365)*d_ET_ow*(1/24)))*1,".")</f>
        <v>510021561.78333151</v>
      </c>
      <c r="L21" s="61">
        <f>IFERROR((d_DL/(Rad_Spec!BB21*d_GSF_s*d_Fam*d_Foffset*Fsurf!C21*d_EF_ow*(1/365)*d_ET_ow*(1/24)))*1,".")</f>
        <v>448075623.10519415</v>
      </c>
      <c r="M21" s="61">
        <f>IFERROR((d_DL/(Rad_Spec!AY21*d_GSF_s*d_Fam*d_Foffset*Fsurf!C21*d_EF_ow*(1/365)*d_ET_ow*(1/24)))*1,".")</f>
        <v>531886517.48681575</v>
      </c>
      <c r="N21" s="61">
        <f>IFERROR((d_DL/(Rad_Spec!AV21*d_GSF_s*d_Fam*d_Foffset*acf!D21*d_ET_ow*(1/24)*d_EF_ow*(1/365)))*1,".")</f>
        <v>585983342.66090393</v>
      </c>
      <c r="O21" s="61">
        <f>IFERROR((d_DL/(Rad_Spec!AZ21*d_GSF_s*d_Fam*d_Foffset*acf!E21*d_ET_ow*(1/24)*d_EF_ow*(1/365)))*1,".")</f>
        <v>1247740393.4245107</v>
      </c>
      <c r="P21" s="61">
        <f>IFERROR((d_DL/(Rad_Spec!BA21*d_GSF_s*d_Fam*d_Foffset*acf!F21*d_ET_ow*(1/24)*d_EF_ow*(1/365)))*1,".")</f>
        <v>666994864.6877569</v>
      </c>
      <c r="Q21" s="61">
        <f>IFERROR((d_DL/(Rad_Spec!BB21*d_GSF_s*d_Fam*d_Foffset*acf!G21*d_ET_ow*(1/24)*d_EF_ow*(1/365)))*1,".")</f>
        <v>585983342.66090393</v>
      </c>
      <c r="R21" s="61">
        <f>IFERROR((d_DL/(Rad_Spec!AY21*d_GSF_s*d_Fam*d_Foffset*acf!C21*d_ET_ow*(1/24)*d_EF_ow*(1/365)))*1,".")</f>
        <v>695589367.86886883</v>
      </c>
    </row>
    <row r="22" spans="1:18">
      <c r="A22" s="60" t="s">
        <v>27</v>
      </c>
      <c r="B22" s="88" t="s">
        <v>6</v>
      </c>
      <c r="C22" s="61">
        <f>IFERROR((d_DL/(Rad_Spec!V22*d_IFD_ow*d_EF_ow))*1,".")</f>
        <v>6.1531903184226765E-2</v>
      </c>
      <c r="D22" s="61">
        <f>IFERROR((d_DL/(Rad_Spec!AN22*d_IRA_ow*(1/d_PEFm_pp)*d_SLF*d_ET_ow*d_EF_ow))*1,".")</f>
        <v>1.9907696688051905E-5</v>
      </c>
      <c r="E22" s="61">
        <f>IFERROR((d_DL/(Rad_Spec!AN22*d_IRA_ow*(1/d_PEF)*d_SLF*d_ET_ow*d_EF_ow))*1,".")</f>
        <v>1.4554371576211591E-2</v>
      </c>
      <c r="F22" s="61">
        <f>IFERROR((d_DL/(Rad_Spec!AY22*d_GSF_s*d_Fam*d_Foffset*acf!C22*d_ET_ow*(1/24)*d_EF_ow*(1/365)))*1,".")</f>
        <v>378.46385151774376</v>
      </c>
      <c r="G22" s="61">
        <f t="shared" si="6"/>
        <v>1.1769932676930618E-2</v>
      </c>
      <c r="H22" s="61">
        <f t="shared" si="7"/>
        <v>1.9901256896998897E-5</v>
      </c>
      <c r="I22" s="74">
        <f>IFERROR((d_DL/(Rad_Spec!AV22*d_GSF_s*d_Fam*d_Foffset*Fsurf!C22*d_EF_ow*(1/365)*d_ET_ow*(1/24)))*1,".")</f>
        <v>396.07012365329877</v>
      </c>
      <c r="J22" s="61">
        <f>IFERROR((d_DL/(Rad_Spec!AZ22*d_GSF_s*d_Fam*d_Foffset*Fsurf!C22*d_EF_ow*(1/365)*d_ET_ow*(1/24)))*1,".")</f>
        <v>546.02730919833391</v>
      </c>
      <c r="K22" s="61">
        <f>IFERROR((d_DL/(Rad_Spec!BA22*d_GSF_s*d_Fam*d_Foffset*Fsurf!C22*d_EF_ow*(1/365)*d_ET_ow*(1/24)))*1,".")</f>
        <v>397.737787331839</v>
      </c>
      <c r="L22" s="61">
        <f>IFERROR((d_DL/(Rad_Spec!BB22*d_GSF_s*d_Fam*d_Foffset*Fsurf!C22*d_EF_ow*(1/365)*d_ET_ow*(1/24)))*1,".")</f>
        <v>396.07012365329877</v>
      </c>
      <c r="M22" s="61">
        <f>IFERROR((d_DL/(Rad_Spec!AY22*d_GSF_s*d_Fam*d_Foffset*Fsurf!C22*d_EF_ow*(1/365)*d_ET_ow*(1/24)))*1,".")</f>
        <v>274.4480431600752</v>
      </c>
      <c r="N22" s="61">
        <f>IFERROR((d_DL/(Rad_Spec!AV22*d_GSF_s*d_Fam*d_Foffset*acf!D22*d_ET_ow*(1/24)*d_EF_ow*(1/365)))*1,".")</f>
        <v>546.18070051789903</v>
      </c>
      <c r="O22" s="61">
        <f>IFERROR((d_DL/(Rad_Spec!AZ22*d_GSF_s*d_Fam*d_Foffset*acf!E22*d_ET_ow*(1/24)*d_EF_ow*(1/365)))*1,".")</f>
        <v>752.97165938450246</v>
      </c>
      <c r="P22" s="61">
        <f>IFERROR((d_DL/(Rad_Spec!BA22*d_GSF_s*d_Fam*d_Foffset*acf!F22*d_ET_ow*(1/24)*d_EF_ow*(1/365)))*1,".")</f>
        <v>548.48040873060597</v>
      </c>
      <c r="Q22" s="61">
        <f>IFERROR((d_DL/(Rad_Spec!BB22*d_GSF_s*d_Fam*d_Foffset*acf!G22*d_ET_ow*(1/24)*d_EF_ow*(1/365)))*1,".")</f>
        <v>546.18070051789903</v>
      </c>
      <c r="R22" s="61">
        <f>IFERROR((d_DL/(Rad_Spec!AY22*d_GSF_s*d_Fam*d_Foffset*acf!C22*d_ET_ow*(1/24)*d_EF_ow*(1/365)))*1,".")</f>
        <v>378.46385151774376</v>
      </c>
    </row>
    <row r="23" spans="1:18">
      <c r="A23" s="62" t="s">
        <v>28</v>
      </c>
      <c r="B23" s="88" t="s">
        <v>8</v>
      </c>
      <c r="C23" s="61">
        <f>IFERROR((d_DL/(Rad_Spec!V23*d_IFD_ow*d_EF_ow))*1,".")</f>
        <v>2.1887776989817805E-2</v>
      </c>
      <c r="D23" s="61">
        <f>IFERROR((d_DL/(Rad_Spec!AN23*d_IRA_ow*(1/d_PEFm_pp)*d_SLF*d_ET_ow*d_EF_ow))*1,".")</f>
        <v>1.6254730985098688E-5</v>
      </c>
      <c r="E23" s="61">
        <f>IFERROR((d_DL/(Rad_Spec!AN23*d_IRA_ow*(1/d_PEF)*d_SLF*d_ET_ow*d_EF_ow))*1,".")</f>
        <v>1.1883715044265972E-2</v>
      </c>
      <c r="F23" s="61">
        <f>IFERROR((d_DL/(Rad_Spec!AY23*d_GSF_s*d_Fam*d_Foffset*acf!C23*d_ET_ow*(1/24)*d_EF_ow*(1/365)))*1,".")</f>
        <v>623.21891716993741</v>
      </c>
      <c r="G23" s="61">
        <f t="shared" si="6"/>
        <v>7.7019069797395383E-3</v>
      </c>
      <c r="H23" s="61">
        <f t="shared" si="7"/>
        <v>1.6242668112140208E-5</v>
      </c>
      <c r="I23" s="74">
        <f>IFERROR((d_DL/(Rad_Spec!AV23*d_GSF_s*d_Fam*d_Foffset*Fsurf!C23*d_EF_ow*(1/365)*d_ET_ow*(1/24)))*1,".")</f>
        <v>118.61600534831443</v>
      </c>
      <c r="J23" s="61">
        <f>IFERROR((d_DL/(Rad_Spec!AZ23*d_GSF_s*d_Fam*d_Foffset*Fsurf!C23*d_EF_ow*(1/365)*d_ET_ow*(1/24)))*1,".")</f>
        <v>475.58304031163817</v>
      </c>
      <c r="K23" s="61">
        <f>IFERROR((d_DL/(Rad_Spec!BA23*d_GSF_s*d_Fam*d_Foffset*Fsurf!C23*d_EF_ow*(1/365)*d_ET_ow*(1/24)))*1,".")</f>
        <v>172.34804195908936</v>
      </c>
      <c r="L23" s="61">
        <f>IFERROR((d_DL/(Rad_Spec!BB23*d_GSF_s*d_Fam*d_Foffset*Fsurf!C23*d_EF_ow*(1/365)*d_ET_ow*(1/24)))*1,".")</f>
        <v>121.47422234465935</v>
      </c>
      <c r="M23" s="61">
        <f>IFERROR((d_DL/(Rad_Spec!AY23*d_GSF_s*d_Fam*d_Foffset*Fsurf!C23*d_EF_ow*(1/365)*d_ET_ow*(1/24)))*1,".")</f>
        <v>482.36758294886795</v>
      </c>
      <c r="N23" s="61">
        <f>IFERROR((d_DL/(Rad_Spec!AV23*d_GSF_s*d_Fam*d_Foffset*acf!D23*d_ET_ow*(1/24)*d_EF_ow*(1/365)))*1,".")</f>
        <v>153.25187891002227</v>
      </c>
      <c r="O23" s="61">
        <f>IFERROR((d_DL/(Rad_Spec!AZ23*d_GSF_s*d_Fam*d_Foffset*acf!E23*d_ET_ow*(1/24)*d_EF_ow*(1/365)))*1,".")</f>
        <v>614.45328808263639</v>
      </c>
      <c r="P23" s="61">
        <f>IFERROR((d_DL/(Rad_Spec!BA23*d_GSF_s*d_Fam*d_Foffset*acf!F23*d_ET_ow*(1/24)*d_EF_ow*(1/365)))*1,".")</f>
        <v>222.67367021114347</v>
      </c>
      <c r="Q23" s="61">
        <f>IFERROR((d_DL/(Rad_Spec!BB23*d_GSF_s*d_Fam*d_Foffset*acf!G23*d_ET_ow*(1/24)*d_EF_ow*(1/365)))*1,".")</f>
        <v>156.9446952692999</v>
      </c>
      <c r="R23" s="61">
        <f>IFERROR((d_DL/(Rad_Spec!AY23*d_GSF_s*d_Fam*d_Foffset*acf!C23*d_ET_ow*(1/24)*d_EF_ow*(1/365)))*1,".")</f>
        <v>623.21891716993741</v>
      </c>
    </row>
    <row r="24" spans="1:18">
      <c r="A24" s="60" t="s">
        <v>29</v>
      </c>
      <c r="B24" s="88" t="s">
        <v>6</v>
      </c>
      <c r="C24" s="61" t="str">
        <f>IFERROR((d_DL/(Rad_Spec!V24*d_IFD_ow*d_EF_ow))*1,".")</f>
        <v>.</v>
      </c>
      <c r="D24" s="61" t="str">
        <f>IFERROR((d_DL/(Rad_Spec!AN24*d_IRA_ow*(1/d_PEFm_pp)*d_SLF*d_ET_ow*d_EF_ow))*1,".")</f>
        <v>.</v>
      </c>
      <c r="E24" s="61" t="str">
        <f>IFERROR((d_DL/(Rad_Spec!AN24*d_IRA_ow*(1/d_PEF)*d_SLF*d_ET_ow*d_EF_ow))*1,".")</f>
        <v>.</v>
      </c>
      <c r="F24" s="61">
        <f>IFERROR((d_DL/(Rad_Spec!AY24*d_GSF_s*d_Fam*d_Foffset*acf!C24*d_ET_ow*(1/24)*d_EF_ow*(1/365)))*1,".")</f>
        <v>5750.141390462958</v>
      </c>
      <c r="G24" s="61">
        <f t="shared" si="6"/>
        <v>5750.141390462958</v>
      </c>
      <c r="H24" s="61">
        <f t="shared" si="7"/>
        <v>5750.141390462958</v>
      </c>
      <c r="I24" s="74">
        <f>IFERROR((d_DL/(Rad_Spec!AV24*d_GSF_s*d_Fam*d_Foffset*Fsurf!C24*d_EF_ow*(1/365)*d_ET_ow*(1/24)))*1,".")</f>
        <v>957.81015774414277</v>
      </c>
      <c r="J24" s="61">
        <f>IFERROR((d_DL/(Rad_Spec!AZ24*d_GSF_s*d_Fam*d_Foffset*Fsurf!C24*d_EF_ow*(1/365)*d_ET_ow*(1/24)))*1,".")</f>
        <v>4757.7498031735204</v>
      </c>
      <c r="K24" s="61">
        <f>IFERROR((d_DL/(Rad_Spec!BA24*d_GSF_s*d_Fam*d_Foffset*Fsurf!C24*d_EF_ow*(1/365)*d_ET_ow*(1/24)))*1,".")</f>
        <v>1667.0283661501114</v>
      </c>
      <c r="L24" s="61">
        <f>IFERROR((d_DL/(Rad_Spec!BB24*d_GSF_s*d_Fam*d_Foffset*Fsurf!C24*d_EF_ow*(1/365)*d_ET_ow*(1/24)))*1,".")</f>
        <v>1070.4937057140421</v>
      </c>
      <c r="M24" s="61">
        <f>IFERROR((d_DL/(Rad_Spec!AY24*d_GSF_s*d_Fam*d_Foffset*Fsurf!C24*d_EF_ow*(1/365)*d_ET_ow*(1/24)))*1,".")</f>
        <v>4819.900578761908</v>
      </c>
      <c r="N24" s="61">
        <f>IFERROR((d_DL/(Rad_Spec!AV24*d_GSF_s*d_Fam*d_Foffset*acf!D24*d_ET_ow*(1/24)*d_EF_ow*(1/365)))*1,".")</f>
        <v>1142.6675181887624</v>
      </c>
      <c r="O24" s="61">
        <f>IFERROR((d_DL/(Rad_Spec!AZ24*d_GSF_s*d_Fam*d_Foffset*acf!E24*d_ET_ow*(1/24)*d_EF_ow*(1/365)))*1,".")</f>
        <v>5675.9955151860104</v>
      </c>
      <c r="P24" s="61">
        <f>IFERROR((d_DL/(Rad_Spec!BA24*d_GSF_s*d_Fam*d_Foffset*acf!F24*d_ET_ow*(1/24)*d_EF_ow*(1/365)))*1,".")</f>
        <v>1988.7648408170826</v>
      </c>
      <c r="Q24" s="61">
        <f>IFERROR((d_DL/(Rad_Spec!BB24*d_GSF_s*d_Fam*d_Foffset*acf!G24*d_ET_ow*(1/24)*d_EF_ow*(1/365)))*1,".")</f>
        <v>1277.098990916852</v>
      </c>
      <c r="R24" s="61">
        <f>IFERROR((d_DL/(Rad_Spec!AY24*d_GSF_s*d_Fam*d_Foffset*acf!C24*d_ET_ow*(1/24)*d_EF_ow*(1/365)))*1,".")</f>
        <v>5750.141390462958</v>
      </c>
    </row>
    <row r="25" spans="1:18">
      <c r="A25" s="62" t="s">
        <v>30</v>
      </c>
      <c r="B25" s="88" t="s">
        <v>8</v>
      </c>
      <c r="C25" s="61" t="str">
        <f>IFERROR((d_DL/(Rad_Spec!V25*d_IFD_ow*d_EF_ow))*1,".")</f>
        <v>.</v>
      </c>
      <c r="D25" s="61">
        <f>IFERROR((d_DL/(Rad_Spec!AN25*d_IRA_ow*(1/d_PEFm_pp)*d_SLF*d_ET_ow*d_EF_ow))*1,".")</f>
        <v>9.457523631177267E-2</v>
      </c>
      <c r="E25" s="61">
        <f>IFERROR((d_DL/(Rad_Spec!AN25*d_IRA_ow*(1/d_PEF)*d_SLF*d_ET_ow*d_EF_ow))*1,".")</f>
        <v>69.143264173584143</v>
      </c>
      <c r="F25" s="61">
        <f>IFERROR((d_DL/(Rad_Spec!AY25*d_GSF_s*d_Fam*d_Foffset*acf!C25*d_ET_ow*(1/24)*d_EF_ow*(1/365)))*1,".")</f>
        <v>11191.135394341885</v>
      </c>
      <c r="G25" s="61">
        <f t="shared" si="6"/>
        <v>68.718692888488761</v>
      </c>
      <c r="H25" s="61">
        <f t="shared" si="7"/>
        <v>9.4574437072069112E-2</v>
      </c>
      <c r="I25" s="74">
        <f>IFERROR((d_DL/(Rad_Spec!AV25*d_GSF_s*d_Fam*d_Foffset*Fsurf!C25*d_EF_ow*(1/365)*d_ET_ow*(1/24)))*1,".")</f>
        <v>1902.8601468588881</v>
      </c>
      <c r="J25" s="61">
        <f>IFERROR((d_DL/(Rad_Spec!AZ25*d_GSF_s*d_Fam*d_Foffset*Fsurf!C25*d_EF_ow*(1/365)*d_ET_ow*(1/24)))*1,".")</f>
        <v>9191.7820653353101</v>
      </c>
      <c r="K25" s="61">
        <f>IFERROR((d_DL/(Rad_Spec!BA25*d_GSF_s*d_Fam*d_Foffset*Fsurf!C25*d_EF_ow*(1/365)*d_ET_ow*(1/24)))*1,".")</f>
        <v>3223.2697881413565</v>
      </c>
      <c r="L25" s="61">
        <f>IFERROR((d_DL/(Rad_Spec!BB25*d_GSF_s*d_Fam*d_Foffset*Fsurf!C25*d_EF_ow*(1/365)*d_ET_ow*(1/24)))*1,".")</f>
        <v>2085.827468672243</v>
      </c>
      <c r="M25" s="61">
        <f>IFERROR((d_DL/(Rad_Spec!AY25*d_GSF_s*d_Fam*d_Foffset*Fsurf!C25*d_EF_ow*(1/365)*d_ET_ow*(1/24)))*1,".")</f>
        <v>9318.1810111089799</v>
      </c>
      <c r="N25" s="61">
        <f>IFERROR((d_DL/(Rad_Spec!AV25*d_GSF_s*d_Fam*d_Foffset*acf!D25*d_ET_ow*(1/24)*d_EF_ow*(1/365)))*1,".")</f>
        <v>2285.3350363775248</v>
      </c>
      <c r="O25" s="61">
        <f>IFERROR((d_DL/(Rad_Spec!AZ25*d_GSF_s*d_Fam*d_Foffset*acf!E25*d_ET_ow*(1/24)*d_EF_ow*(1/365)))*1,".")</f>
        <v>11039.330260467705</v>
      </c>
      <c r="P25" s="61">
        <f>IFERROR((d_DL/(Rad_Spec!BA25*d_GSF_s*d_Fam*d_Foffset*acf!F25*d_ET_ow*(1/24)*d_EF_ow*(1/365)))*1,".")</f>
        <v>3871.1470155577686</v>
      </c>
      <c r="Q25" s="61">
        <f>IFERROR((d_DL/(Rad_Spec!BB25*d_GSF_s*d_Fam*d_Foffset*acf!G25*d_ET_ow*(1/24)*d_EF_ow*(1/365)))*1,".")</f>
        <v>2505.0787898753638</v>
      </c>
      <c r="R25" s="61">
        <f>IFERROR((d_DL/(Rad_Spec!AY25*d_GSF_s*d_Fam*d_Foffset*acf!C25*d_ET_ow*(1/24)*d_EF_ow*(1/365)))*1,".")</f>
        <v>11191.135394341885</v>
      </c>
    </row>
    <row r="26" spans="1:18">
      <c r="A26" s="60" t="s">
        <v>31</v>
      </c>
      <c r="B26" s="88" t="s">
        <v>6</v>
      </c>
      <c r="C26" s="61">
        <f>IFERROR((d_DL/(Rad_Spec!V26*d_IFD_ow*d_EF_ow))*1,".")</f>
        <v>1.2281718551400773E-2</v>
      </c>
      <c r="D26" s="61">
        <f>IFERROR((d_DL/(Rad_Spec!AN26*d_IRA_ow*(1/d_PEFm_pp)*d_SLF*d_ET_ow*d_EF_ow))*1,".")</f>
        <v>2.2175328363777022E-6</v>
      </c>
      <c r="E26" s="61">
        <f>IFERROR((d_DL/(Rad_Spec!AN26*d_IRA_ow*(1/d_PEF)*d_SLF*d_ET_ow*d_EF_ow))*1,".")</f>
        <v>1.6212220523965494E-3</v>
      </c>
      <c r="F26" s="61">
        <f>IFERROR((d_DL/(Rad_Spec!AY26*d_GSF_s*d_Fam*d_Foffset*acf!C26*d_ET_ow*(1/24)*d_EF_ow*(1/365)))*1,".")</f>
        <v>53.717449892841053</v>
      </c>
      <c r="G26" s="61">
        <f t="shared" si="6"/>
        <v>1.4321331491606122E-3</v>
      </c>
      <c r="H26" s="61">
        <f t="shared" si="7"/>
        <v>2.2171324292160257E-6</v>
      </c>
      <c r="I26" s="74">
        <f>IFERROR((d_DL/(Rad_Spec!AV26*d_GSF_s*d_Fam*d_Foffset*Fsurf!C26*d_EF_ow*(1/365)*d_ET_ow*(1/24)))*1,".")</f>
        <v>12.101155367920677</v>
      </c>
      <c r="J26" s="61">
        <f>IFERROR((d_DL/(Rad_Spec!AZ26*d_GSF_s*d_Fam*d_Foffset*Fsurf!C26*d_EF_ow*(1/365)*d_ET_ow*(1/24)))*1,".")</f>
        <v>40.600826288884186</v>
      </c>
      <c r="K26" s="61">
        <f>IFERROR((d_DL/(Rad_Spec!BA26*d_GSF_s*d_Fam*d_Foffset*Fsurf!C26*d_EF_ow*(1/365)*d_ET_ow*(1/24)))*1,".")</f>
        <v>15.928016467177647</v>
      </c>
      <c r="L26" s="61">
        <f>IFERROR((d_DL/(Rad_Spec!BB26*d_GSF_s*d_Fam*d_Foffset*Fsurf!C26*d_EF_ow*(1/365)*d_ET_ow*(1/24)))*1,".")</f>
        <v>12.260381096445949</v>
      </c>
      <c r="M26" s="61">
        <f>IFERROR((d_DL/(Rad_Spec!AY26*d_GSF_s*d_Fam*d_Foffset*Fsurf!C26*d_EF_ow*(1/365)*d_ET_ow*(1/24)))*1,".")</f>
        <v>38.424499208040807</v>
      </c>
      <c r="N26" s="61">
        <f>IFERROR((d_DL/(Rad_Spec!AV26*d_GSF_s*d_Fam*d_Foffset*acf!D26*d_ET_ow*(1/24)*d_EF_ow*(1/365)))*1,".")</f>
        <v>16.917415204353105</v>
      </c>
      <c r="O26" s="61">
        <f>IFERROR((d_DL/(Rad_Spec!AZ26*d_GSF_s*d_Fam*d_Foffset*acf!E26*d_ET_ow*(1/24)*d_EF_ow*(1/365)))*1,".")</f>
        <v>56.759955151860098</v>
      </c>
      <c r="P26" s="61">
        <f>IFERROR((d_DL/(Rad_Spec!BA26*d_GSF_s*d_Fam*d_Foffset*acf!F26*d_ET_ow*(1/24)*d_EF_ow*(1/365)))*1,".")</f>
        <v>22.267367021114342</v>
      </c>
      <c r="Q26" s="61">
        <f>IFERROR((d_DL/(Rad_Spec!BB26*d_GSF_s*d_Fam*d_Foffset*acf!G26*d_ET_ow*(1/24)*d_EF_ow*(1/365)))*1,".")</f>
        <v>17.140012772831437</v>
      </c>
      <c r="R26" s="61">
        <f>IFERROR((d_DL/(Rad_Spec!AY26*d_GSF_s*d_Fam*d_Foffset*acf!C26*d_ET_ow*(1/24)*d_EF_ow*(1/365)))*1,".")</f>
        <v>53.717449892841053</v>
      </c>
    </row>
    <row r="27" spans="1:18">
      <c r="A27" s="60" t="s">
        <v>32</v>
      </c>
      <c r="B27" s="88" t="s">
        <v>6</v>
      </c>
      <c r="C27" s="61" t="str">
        <f>IFERROR((d_DL/(Rad_Spec!V27*d_IFD_ow*d_EF_ow))*1,".")</f>
        <v>.</v>
      </c>
      <c r="D27" s="61" t="str">
        <f>IFERROR((d_DL/(Rad_Spec!AN27*d_IRA_ow*(1/d_PEFm_pp)*d_SLF*d_ET_ow*d_EF_ow))*1,".")</f>
        <v>.</v>
      </c>
      <c r="E27" s="61" t="str">
        <f>IFERROR((d_DL/(Rad_Spec!AN27*d_IRA_ow*(1/d_PEF)*d_SLF*d_ET_ow*d_EF_ow))*1,".")</f>
        <v>.</v>
      </c>
      <c r="F27" s="61">
        <f>IFERROR((d_DL/(Rad_Spec!AY27*d_GSF_s*d_Fam*d_Foffset*acf!C27*d_ET_ow*(1/24)*d_EF_ow*(1/365)))*1,".")</f>
        <v>68.02454847541145</v>
      </c>
      <c r="G27" s="61">
        <f t="shared" si="6"/>
        <v>68.02454847541145</v>
      </c>
      <c r="H27" s="61">
        <f t="shared" si="7"/>
        <v>68.02454847541145</v>
      </c>
      <c r="I27" s="74">
        <f>IFERROR((d_DL/(Rad_Spec!AV27*d_GSF_s*d_Fam*d_Foffset*Fsurf!C27*d_EF_ow*(1/365)*d_ET_ow*(1/24)))*1,".")</f>
        <v>285.31024174500936</v>
      </c>
      <c r="J27" s="61">
        <f>IFERROR((d_DL/(Rad_Spec!AZ27*d_GSF_s*d_Fam*d_Foffset*Fsurf!C27*d_EF_ow*(1/365)*d_ET_ow*(1/24)))*1,".")</f>
        <v>480.6704565359272</v>
      </c>
      <c r="K27" s="61">
        <f>IFERROR((d_DL/(Rad_Spec!BA27*d_GSF_s*d_Fam*d_Foffset*Fsurf!C27*d_EF_ow*(1/365)*d_ET_ow*(1/24)))*1,".")</f>
        <v>344.79188225015264</v>
      </c>
      <c r="L27" s="61">
        <f>IFERROR((d_DL/(Rad_Spec!BB27*d_GSF_s*d_Fam*d_Foffset*Fsurf!C27*d_EF_ow*(1/365)*d_ET_ow*(1/24)))*1,".")</f>
        <v>292.58201702186864</v>
      </c>
      <c r="M27" s="61">
        <f>IFERROR((d_DL/(Rad_Spec!AY27*d_GSF_s*d_Fam*d_Foffset*Fsurf!C27*d_EF_ow*(1/365)*d_ET_ow*(1/24)))*1,".")</f>
        <v>50.954717959109701</v>
      </c>
      <c r="N27" s="61">
        <f>IFERROR((d_DL/(Rad_Spec!AV27*d_GSF_s*d_Fam*d_Foffset*acf!D27*d_ET_ow*(1/24)*d_EF_ow*(1/365)))*1,".")</f>
        <v>380.88917272958753</v>
      </c>
      <c r="O27" s="61">
        <f>IFERROR((d_DL/(Rad_Spec!AZ27*d_GSF_s*d_Fam*d_Foffset*acf!E27*d_ET_ow*(1/24)*d_EF_ow*(1/365)))*1,".")</f>
        <v>641.6950594754627</v>
      </c>
      <c r="P27" s="61">
        <f>IFERROR((d_DL/(Rad_Spec!BA27*d_GSF_s*d_Fam*d_Foffset*acf!F27*d_ET_ow*(1/24)*d_EF_ow*(1/365)))*1,".")</f>
        <v>460.29716280395377</v>
      </c>
      <c r="Q27" s="61">
        <f>IFERROR((d_DL/(Rad_Spec!BB27*d_GSF_s*d_Fam*d_Foffset*acf!G27*d_ET_ow*(1/24)*d_EF_ow*(1/365)))*1,".")</f>
        <v>390.59699272419471</v>
      </c>
      <c r="R27" s="61">
        <f>IFERROR((d_DL/(Rad_Spec!AY27*d_GSF_s*d_Fam*d_Foffset*acf!C27*d_ET_ow*(1/24)*d_EF_ow*(1/365)))*1,".")</f>
        <v>68.02454847541145</v>
      </c>
    </row>
    <row r="28" spans="1:18">
      <c r="A28" s="60" t="s">
        <v>33</v>
      </c>
      <c r="B28" s="88" t="s">
        <v>6</v>
      </c>
      <c r="C28" s="61" t="str">
        <f>IFERROR((d_DL/(Rad_Spec!V28*d_IFD_ow*d_EF_ow))*1,".")</f>
        <v>.</v>
      </c>
      <c r="D28" s="61" t="str">
        <f>IFERROR((d_DL/(Rad_Spec!AN28*d_IRA_ow*(1/d_PEFm_pp)*d_SLF*d_ET_ow*d_EF_ow))*1,".")</f>
        <v>.</v>
      </c>
      <c r="E28" s="61" t="str">
        <f>IFERROR((d_DL/(Rad_Spec!AN28*d_IRA_ow*(1/d_PEF)*d_SLF*d_ET_ow*d_EF_ow))*1,".")</f>
        <v>.</v>
      </c>
      <c r="F28" s="61">
        <f>IFERROR((d_DL/(Rad_Spec!AY28*d_GSF_s*d_Fam*d_Foffset*acf!C28*d_ET_ow*(1/24)*d_EF_ow*(1/365)))*1,".")</f>
        <v>2.0609417656906839</v>
      </c>
      <c r="G28" s="61">
        <f t="shared" si="6"/>
        <v>2.0609417656906839</v>
      </c>
      <c r="H28" s="61">
        <f t="shared" si="7"/>
        <v>2.0609417656906839</v>
      </c>
      <c r="I28" s="74">
        <f>IFERROR((d_DL/(Rad_Spec!AV28*d_GSF_s*d_Fam*d_Foffset*Fsurf!C28*d_EF_ow*(1/365)*d_ET_ow*(1/24)))*1,".")</f>
        <v>0.32568914759564632</v>
      </c>
      <c r="J28" s="61">
        <f>IFERROR((d_DL/(Rad_Spec!AZ28*d_GSF_s*d_Fam*d_Foffset*Fsurf!C28*d_EF_ow*(1/365)*d_ET_ow*(1/24)))*1,".")</f>
        <v>1.7809509737571458</v>
      </c>
      <c r="K28" s="61">
        <f>IFERROR((d_DL/(Rad_Spec!BA28*d_GSF_s*d_Fam*d_Foffset*Fsurf!C28*d_EF_ow*(1/365)*d_ET_ow*(1/24)))*1,".")</f>
        <v>0.61988901296519439</v>
      </c>
      <c r="L28" s="61">
        <f>IFERROR((d_DL/(Rad_Spec!BB28*d_GSF_s*d_Fam*d_Foffset*Fsurf!C28*d_EF_ow*(1/365)*d_ET_ow*(1/24)))*1,".")</f>
        <v>0.38756446061036337</v>
      </c>
      <c r="M28" s="61">
        <f>IFERROR((d_DL/(Rad_Spec!AY28*d_GSF_s*d_Fam*d_Foffset*Fsurf!C28*d_EF_ow*(1/365)*d_ET_ow*(1/24)))*1,".")</f>
        <v>1.7751436396991245</v>
      </c>
      <c r="N28" s="61">
        <f>IFERROR((d_DL/(Rad_Spec!AV28*d_GSF_s*d_Fam*d_Foffset*acf!D28*d_ET_ow*(1/24)*d_EF_ow*(1/365)))*1,".")</f>
        <v>0.37812510035854541</v>
      </c>
      <c r="O28" s="61">
        <f>IFERROR((d_DL/(Rad_Spec!AZ28*d_GSF_s*d_Fam*d_Foffset*acf!E28*d_ET_ow*(1/24)*d_EF_ow*(1/365)))*1,".")</f>
        <v>2.0676840805320462</v>
      </c>
      <c r="P28" s="61">
        <f>IFERROR((d_DL/(Rad_Spec!BA28*d_GSF_s*d_Fam*d_Foffset*acf!F28*d_ET_ow*(1/24)*d_EF_ow*(1/365)))*1,".")</f>
        <v>0.71969114405259071</v>
      </c>
      <c r="Q28" s="61">
        <f>IFERROR((d_DL/(Rad_Spec!BB28*d_GSF_s*d_Fam*d_Foffset*acf!G28*d_ET_ow*(1/24)*d_EF_ow*(1/365)))*1,".")</f>
        <v>0.44996233876863179</v>
      </c>
      <c r="R28" s="61">
        <f>IFERROR((d_DL/(Rad_Spec!AY28*d_GSF_s*d_Fam*d_Foffset*acf!C28*d_ET_ow*(1/24)*d_EF_ow*(1/365)))*1,".")</f>
        <v>2.0609417656906839</v>
      </c>
    </row>
    <row r="29" spans="1:18">
      <c r="A29" s="60" t="s">
        <v>34</v>
      </c>
      <c r="B29" s="88" t="s">
        <v>6</v>
      </c>
      <c r="C29" s="61" t="str">
        <f>IFERROR((d_DL/(Rad_Spec!V29*d_IFD_ow*d_EF_ow))*1,".")</f>
        <v>.</v>
      </c>
      <c r="D29" s="61" t="str">
        <f>IFERROR((d_DL/(Rad_Spec!AN29*d_IRA_ow*(1/d_PEFm_pp)*d_SLF*d_ET_ow*d_EF_ow))*1,".")</f>
        <v>.</v>
      </c>
      <c r="E29" s="61" t="str">
        <f>IFERROR((d_DL/(Rad_Spec!AN29*d_IRA_ow*(1/d_PEF)*d_SLF*d_ET_ow*d_EF_ow))*1,".")</f>
        <v>.</v>
      </c>
      <c r="F29" s="61">
        <f>IFERROR((d_DL/(Rad_Spec!AY29*d_GSF_s*d_Fam*d_Foffset*acf!C29*d_ET_ow*(1/24)*d_EF_ow*(1/365)))*1,".")</f>
        <v>1.5769327146572658</v>
      </c>
      <c r="G29" s="61">
        <f t="shared" si="6"/>
        <v>1.5769327146572658</v>
      </c>
      <c r="H29" s="61">
        <f t="shared" si="7"/>
        <v>1.5769327146572658</v>
      </c>
      <c r="I29" s="74" t="str">
        <f>IFERROR((d_DL/(Rad_Spec!AV29*d_GSF_s*d_Fam*d_Foffset*Fsurf!C29*d_EF_ow*(1/365)*d_ET_ow*(1/24)))*1,".")</f>
        <v>.</v>
      </c>
      <c r="J29" s="61" t="str">
        <f>IFERROR((d_DL/(Rad_Spec!AZ29*d_GSF_s*d_Fam*d_Foffset*Fsurf!C29*d_EF_ow*(1/365)*d_ET_ow*(1/24)))*1,".")</f>
        <v>.</v>
      </c>
      <c r="K29" s="61" t="str">
        <f>IFERROR((d_DL/(Rad_Spec!BA29*d_GSF_s*d_Fam*d_Foffset*Fsurf!C29*d_EF_ow*(1/365)*d_ET_ow*(1/24)))*1,".")</f>
        <v>.</v>
      </c>
      <c r="L29" s="61" t="str">
        <f>IFERROR((d_DL/(Rad_Spec!BB29*d_GSF_s*d_Fam*d_Foffset*Fsurf!C29*d_EF_ow*(1/365)*d_ET_ow*(1/24)))*1,".")</f>
        <v>.</v>
      </c>
      <c r="M29" s="61" t="str">
        <f>IFERROR((d_DL/(Rad_Spec!AY29*d_GSF_s*d_Fam*d_Foffset*Fsurf!C29*d_EF_ow*(1/365)*d_ET_ow*(1/24)))*1,".")</f>
        <v>.</v>
      </c>
      <c r="N29" s="61">
        <f>IFERROR((d_DL/(Rad_Spec!AV29*d_GSF_s*d_Fam*d_Foffset*acf!D29*d_ET_ow*(1/24)*d_EF_ow*(1/365)))*1,".")</f>
        <v>0.29012048345995306</v>
      </c>
      <c r="O29" s="61">
        <f>IFERROR((d_DL/(Rad_Spec!AZ29*d_GSF_s*d_Fam*d_Foffset*acf!E29*d_ET_ow*(1/24)*d_EF_ow*(1/365)))*1,".")</f>
        <v>1.5885865496770601</v>
      </c>
      <c r="P29" s="61">
        <f>IFERROR((d_DL/(Rad_Spec!BA29*d_GSF_s*d_Fam*d_Foffset*acf!F29*d_ET_ow*(1/24)*d_EF_ow*(1/365)))*1,".")</f>
        <v>0.55313841644806327</v>
      </c>
      <c r="Q29" s="61">
        <f>IFERROR((d_DL/(Rad_Spec!BB29*d_GSF_s*d_Fam*d_Foffset*acf!G29*d_ET_ow*(1/24)*d_EF_ow*(1/365)))*1,".")</f>
        <v>0.34415877694456787</v>
      </c>
      <c r="R29" s="61">
        <f>IFERROR((d_DL/(Rad_Spec!AY29*d_GSF_s*d_Fam*d_Foffset*acf!C29*d_ET_ow*(1/24)*d_EF_ow*(1/365)))*1,".")</f>
        <v>1.5769327146572658</v>
      </c>
    </row>
    <row r="30" spans="1:18">
      <c r="A30" s="60" t="s">
        <v>35</v>
      </c>
      <c r="B30" s="88" t="s">
        <v>6</v>
      </c>
      <c r="C30" s="61">
        <f>IFERROR((d_DL/(Rad_Spec!V30*d_IFD_ow*d_EF_ow))*1,".")</f>
        <v>0.11969878041306611</v>
      </c>
      <c r="D30" s="61">
        <f>IFERROR((d_DL/(Rad_Spec!AN30*d_IRA_ow*(1/d_PEFm_pp)*d_SLF*d_ET_ow*d_EF_ow))*1,".")</f>
        <v>1.6254730985098688E-5</v>
      </c>
      <c r="E30" s="61">
        <f>IFERROR((d_DL/(Rad_Spec!AN30*d_IRA_ow*(1/d_PEF)*d_SLF*d_ET_ow*d_EF_ow))*1,".")</f>
        <v>1.1883715044265972E-2</v>
      </c>
      <c r="F30" s="61">
        <f>IFERROR((d_DL/(Rad_Spec!AY30*d_GSF_s*d_Fam*d_Foffset*acf!C30*d_ET_ow*(1/24)*d_EF_ow*(1/365)))*1,".")</f>
        <v>8746.0133754100443</v>
      </c>
      <c r="G30" s="61">
        <f t="shared" si="6"/>
        <v>1.0810438230430154E-2</v>
      </c>
      <c r="H30" s="61">
        <f t="shared" si="7"/>
        <v>1.6252523911486937E-5</v>
      </c>
      <c r="I30" s="74">
        <f>IFERROR((d_DL/(Rad_Spec!AV30*d_GSF_s*d_Fam*d_Foffset*Fsurf!C30*d_EF_ow*(1/365)*d_ET_ow*(1/24)))*1,".")</f>
        <v>3702.9989502961771</v>
      </c>
      <c r="J30" s="61">
        <f>IFERROR((d_DL/(Rad_Spec!AZ30*d_GSF_s*d_Fam*d_Foffset*Fsurf!C30*d_EF_ow*(1/365)*d_ET_ow*(1/24)))*1,".")</f>
        <v>12564.658507211858</v>
      </c>
      <c r="K30" s="61">
        <f>IFERROR((d_DL/(Rad_Spec!BA30*d_GSF_s*d_Fam*d_Foffset*Fsurf!C30*d_EF_ow*(1/365)*d_ET_ow*(1/24)))*1,".")</f>
        <v>5190.5284431501977</v>
      </c>
      <c r="L30" s="61">
        <f>IFERROR((d_DL/(Rad_Spec!BB30*d_GSF_s*d_Fam*d_Foffset*Fsurf!C30*d_EF_ow*(1/365)*d_ET_ow*(1/24)))*1,".")</f>
        <v>3827.4695032473091</v>
      </c>
      <c r="M30" s="61">
        <f>IFERROR((d_DL/(Rad_Spec!AY30*d_GSF_s*d_Fam*d_Foffset*Fsurf!C30*d_EF_ow*(1/365)*d_ET_ow*(1/24)))*1,".")</f>
        <v>6116.0932695175143</v>
      </c>
      <c r="N30" s="61">
        <f>IFERROR((d_DL/(Rad_Spec!AV30*d_GSF_s*d_Fam*d_Foffset*acf!D30*d_ET_ow*(1/24)*d_EF_ow*(1/365)))*1,".")</f>
        <v>5295.2884989235336</v>
      </c>
      <c r="O30" s="61">
        <f>IFERROR((d_DL/(Rad_Spec!AZ30*d_GSF_s*d_Fam*d_Foffset*acf!E30*d_ET_ow*(1/24)*d_EF_ow*(1/365)))*1,".")</f>
        <v>17967.461665312952</v>
      </c>
      <c r="P30" s="61">
        <f>IFERROR((d_DL/(Rad_Spec!BA30*d_GSF_s*d_Fam*d_Foffset*acf!F30*d_ET_ow*(1/24)*d_EF_ow*(1/365)))*1,".")</f>
        <v>7422.4556737047815</v>
      </c>
      <c r="Q30" s="61">
        <f>IFERROR((d_DL/(Rad_Spec!BB30*d_GSF_s*d_Fam*d_Foffset*acf!G30*d_ET_ow*(1/24)*d_EF_ow*(1/365)))*1,".")</f>
        <v>5473.2813896436519</v>
      </c>
      <c r="R30" s="61">
        <f>IFERROR((d_DL/(Rad_Spec!AY30*d_GSF_s*d_Fam*d_Foffset*acf!C30*d_ET_ow*(1/24)*d_EF_ow*(1/365)))*1,".")</f>
        <v>8746.0133754100443</v>
      </c>
    </row>
    <row r="31" spans="1:18">
      <c r="A31" s="63" t="s">
        <v>7</v>
      </c>
      <c r="B31" s="82" t="s">
        <v>6</v>
      </c>
      <c r="C31" s="67">
        <f>IFERROR(1/SUM(1/C32,1/C33,1/C34,1/C35,1/C36,1/C37,1/C38,1/C41,1/C44),0)</f>
        <v>6.1247760958239653E-3</v>
      </c>
      <c r="D31" s="67">
        <f t="shared" ref="D31:E31" si="8">IFERROR(1/SUM(1/D32,1/D33,1/D34,1/D35,1/D36,1/D37,1/D38,1/D41,1/D44),0)</f>
        <v>7.8187844298344826E-7</v>
      </c>
      <c r="E31" s="67">
        <f t="shared" si="8"/>
        <v>5.7162561620906715E-4</v>
      </c>
      <c r="F31" s="67">
        <f>IFERROR(1/SUM(1/F32,1/F33,1/F34,1/F35,1/F36,1/F37,1/F38,1/F39,1/F40,1/F41,1/F42,1/F43,1/F44),0)</f>
        <v>7.0969812025891734</v>
      </c>
      <c r="G31" s="73">
        <f t="shared" ref="G31:H31" si="9">IFERROR(1/SUM(1/G32,1/G33,1/G34,1/G35,1/G36,1/G37,1/G38,1/G39,1/G40,1/G41,1/G42,1/G43,1/G44),0)</f>
        <v>5.2279136726131488E-4</v>
      </c>
      <c r="H31" s="73">
        <f t="shared" si="9"/>
        <v>7.8177855634080562E-7</v>
      </c>
      <c r="I31" s="75">
        <f>IFERROR(1/SUM(1/I32,1/I33,1/I34,1/I35,1/I36,1/I37,1/I38,1/I39,1/I40,1/I41,1/I43,1/I44),0)</f>
        <v>1.4889476747076498</v>
      </c>
      <c r="J31" s="75">
        <f>IFERROR(1/SUM(1/J32,1/J33,1/J34,1/J35,1/J36,1/J37,1/J38,1/J39,1/J40,1/J41,1/J43,1/J44),0)</f>
        <v>6.1484895302531992</v>
      </c>
      <c r="K31" s="75">
        <f t="shared" ref="K31:N31" si="10">IFERROR(1/SUM(1/K32,1/K33,1/K34,1/K35,1/K36,1/K37,1/K38,1/K39,1/K40,1/K41,1/K43,1/K44),0)</f>
        <v>2.2856988133550047</v>
      </c>
      <c r="L31" s="75">
        <f t="shared" si="10"/>
        <v>1.5881768443197959</v>
      </c>
      <c r="M31" s="75">
        <f t="shared" si="10"/>
        <v>5.5170796142456924</v>
      </c>
      <c r="N31" s="75">
        <f t="shared" si="10"/>
        <v>1.898064570069423</v>
      </c>
      <c r="O31" s="75">
        <f t="shared" ref="O31:R31" si="11">IFERROR(1/SUM(1/O32,1/O33,1/O34,1/O35,1/O36,1/O37,1/O38,1/O39,1/O40,1/O41,1/O42,1/O43,1/O44),0)</f>
        <v>7.9105043145945872</v>
      </c>
      <c r="P31" s="75">
        <f t="shared" si="11"/>
        <v>2.9313154942151725</v>
      </c>
      <c r="Q31" s="75">
        <f t="shared" si="11"/>
        <v>2.0289517901749385</v>
      </c>
      <c r="R31" s="75">
        <f t="shared" si="11"/>
        <v>7.0969812025891734</v>
      </c>
    </row>
    <row r="32" spans="1:18">
      <c r="A32" s="65" t="s">
        <v>390</v>
      </c>
      <c r="B32" s="89">
        <v>1</v>
      </c>
      <c r="C32" s="69">
        <f>IFERROR(C3/$B32,0)</f>
        <v>3.0042046848769533E-2</v>
      </c>
      <c r="D32" s="69">
        <f>IFERROR(D3/$B32,0)</f>
        <v>1.7066639056729509E-6</v>
      </c>
      <c r="E32" s="69">
        <f>IFERROR(E3/$B32,0)</f>
        <v>1.2477295102542251E-3</v>
      </c>
      <c r="F32" s="69">
        <f>IFERROR(F3/$B32,0)</f>
        <v>190.96799847225606</v>
      </c>
      <c r="G32" s="70">
        <f t="shared" ref="G32:G44" si="12">(IF(AND(C32&lt;&gt;0,E32&lt;&gt;0,F32&lt;&gt;0),1/((1/C32)+(1/E32)+(1/F32)),IF(AND(C32&lt;&gt;0,E32&lt;&gt;0,F32=0), 1/((1/C32)+(1/E32)),IF(AND(C32&lt;&gt;0,E32=0,F32&lt;&gt;0),1/((1/C32)+(1/F32)),IF(AND(C32=0,E32&lt;&gt;0,F32&lt;&gt;0),1/((1/E32)+(1/F32)),IF(AND(C32&lt;&gt;0,E32=0,F32=0),1/(1/C32),IF(AND(C32=0,E32&lt;&gt;0,F32=0),1/(1/E32),IF(AND(C32=0,E32=0,F32&lt;&gt;0),1/(1/F32),IF(AND(C32=0,E32=0,F32=0),0)))))))))</f>
        <v>1.1979667999993248E-3</v>
      </c>
      <c r="H32" s="70">
        <f t="shared" ref="H32:H44" si="13">(IF(AND(C32&lt;&gt;0,D32&lt;&gt;0,F32&lt;&gt;0),1/((1/C32)+(1/D32)+(1/F32)),IF(AND(C32&lt;&gt;0,D32&lt;&gt;0,F32=0), 1/((1/C32)+(1/D32)),IF(AND(C32&lt;&gt;0,D32=0,F32&lt;&gt;0),1/((1/C32)+(1/F32)),IF(AND(C32=0,D32&lt;&gt;0,F32&lt;&gt;0),1/((1/D32)+(1/F32)),IF(AND(C32&lt;&gt;0,D32=0,F32=0),1/(1/C32),IF(AND(C32=0,D32&lt;&gt;0,F32=0),1/(1/D32),IF(AND(C32=0,D32=0,F32&lt;&gt;0),1/(1/F32),IF(AND(C32=0,D32=0,F32=0),0)))))))))</f>
        <v>1.7065669417609665E-6</v>
      </c>
      <c r="I32" s="69">
        <f t="shared" ref="I32:R32" si="14">IFERROR(I3/$B32,0)</f>
        <v>93.98326670936801</v>
      </c>
      <c r="J32" s="69">
        <f t="shared" si="14"/>
        <v>190.84357219555341</v>
      </c>
      <c r="K32" s="69">
        <f t="shared" si="14"/>
        <v>101.09551391980669</v>
      </c>
      <c r="L32" s="69">
        <f t="shared" si="14"/>
        <v>93.98326670936801</v>
      </c>
      <c r="M32" s="69">
        <f t="shared" si="14"/>
        <v>137.09116903966694</v>
      </c>
      <c r="N32" s="69">
        <f t="shared" si="14"/>
        <v>130.91869052614965</v>
      </c>
      <c r="O32" s="69">
        <f t="shared" si="14"/>
        <v>265.84509606840595</v>
      </c>
      <c r="P32" s="69">
        <f t="shared" si="14"/>
        <v>140.8260508902907</v>
      </c>
      <c r="Q32" s="69">
        <f t="shared" si="14"/>
        <v>130.91869052614965</v>
      </c>
      <c r="R32" s="69">
        <f t="shared" si="14"/>
        <v>190.96799847225606</v>
      </c>
    </row>
    <row r="33" spans="1:18">
      <c r="A33" s="65" t="s">
        <v>391</v>
      </c>
      <c r="B33" s="89">
        <v>1</v>
      </c>
      <c r="C33" s="71">
        <f t="shared" ref="C33:F34" si="15">IFERROR(C13/$B33,0)</f>
        <v>5.7276425767747531E-2</v>
      </c>
      <c r="D33" s="71">
        <f t="shared" si="15"/>
        <v>1.3287597551310833E-5</v>
      </c>
      <c r="E33" s="71">
        <f t="shared" si="15"/>
        <v>9.7144654726936102E-3</v>
      </c>
      <c r="F33" s="71">
        <f t="shared" si="15"/>
        <v>170.61894945472056</v>
      </c>
      <c r="G33" s="70">
        <f t="shared" si="12"/>
        <v>8.3053496591493584E-3</v>
      </c>
      <c r="H33" s="70">
        <f t="shared" si="13"/>
        <v>1.3284514633008985E-5</v>
      </c>
      <c r="I33" s="71">
        <f t="shared" ref="I33:R33" si="16">IFERROR(I13/$B33,0)</f>
        <v>51.91024865347589</v>
      </c>
      <c r="J33" s="71">
        <f t="shared" si="16"/>
        <v>155.29816055498202</v>
      </c>
      <c r="K33" s="71">
        <f t="shared" si="16"/>
        <v>65.160067365726732</v>
      </c>
      <c r="L33" s="71">
        <f t="shared" si="16"/>
        <v>52.055249348038664</v>
      </c>
      <c r="M33" s="71">
        <f t="shared" si="16"/>
        <v>122.04502822226078</v>
      </c>
      <c r="N33" s="71">
        <f t="shared" si="16"/>
        <v>72.570527617559293</v>
      </c>
      <c r="O33" s="71">
        <f t="shared" si="16"/>
        <v>217.10682845586487</v>
      </c>
      <c r="P33" s="71">
        <f t="shared" si="16"/>
        <v>91.093774177285965</v>
      </c>
      <c r="Q33" s="71">
        <f t="shared" si="16"/>
        <v>72.773238588558058</v>
      </c>
      <c r="R33" s="71">
        <f t="shared" si="16"/>
        <v>170.61894945472056</v>
      </c>
    </row>
    <row r="34" spans="1:18">
      <c r="A34" s="65" t="s">
        <v>392</v>
      </c>
      <c r="B34" s="89">
        <v>1</v>
      </c>
      <c r="C34" s="71">
        <f t="shared" si="15"/>
        <v>6.3442831854544366</v>
      </c>
      <c r="D34" s="71">
        <f t="shared" si="15"/>
        <v>3.6715730075990459E-2</v>
      </c>
      <c r="E34" s="71">
        <f t="shared" si="15"/>
        <v>26.842601964021821</v>
      </c>
      <c r="F34" s="71">
        <f t="shared" si="15"/>
        <v>20.609417656906839</v>
      </c>
      <c r="G34" s="70">
        <f t="shared" si="12"/>
        <v>4.1084982161687469</v>
      </c>
      <c r="H34" s="70">
        <f t="shared" si="13"/>
        <v>3.6439926568555402E-2</v>
      </c>
      <c r="I34" s="71">
        <f t="shared" ref="I34:R34" si="17">IFERROR(I14/$B34,0)</f>
        <v>3.6999487906813684</v>
      </c>
      <c r="J34" s="71">
        <f t="shared" si="17"/>
        <v>15.877732999380672</v>
      </c>
      <c r="K34" s="71">
        <f t="shared" si="17"/>
        <v>5.7123855266893644</v>
      </c>
      <c r="L34" s="71">
        <f t="shared" si="17"/>
        <v>3.9078916490723756</v>
      </c>
      <c r="M34" s="71">
        <f t="shared" si="17"/>
        <v>15.951561653952663</v>
      </c>
      <c r="N34" s="71">
        <f t="shared" si="17"/>
        <v>4.7803338375603275</v>
      </c>
      <c r="O34" s="71">
        <f t="shared" si="17"/>
        <v>20.514031035199832</v>
      </c>
      <c r="P34" s="71">
        <f t="shared" si="17"/>
        <v>7.3804021004826588</v>
      </c>
      <c r="Q34" s="71">
        <f t="shared" si="17"/>
        <v>5.0489960106015088</v>
      </c>
      <c r="R34" s="71">
        <f t="shared" si="17"/>
        <v>20.609417656906839</v>
      </c>
    </row>
    <row r="35" spans="1:18">
      <c r="A35" s="65" t="s">
        <v>393</v>
      </c>
      <c r="B35" s="89">
        <v>1</v>
      </c>
      <c r="C35" s="71">
        <f>IFERROR(C30/$B35,0)</f>
        <v>0.11969878041306611</v>
      </c>
      <c r="D35" s="71">
        <f>IFERROR(D30/$B35,0)</f>
        <v>1.6254730985098688E-5</v>
      </c>
      <c r="E35" s="71">
        <f>IFERROR(E30/$B35,0)</f>
        <v>1.1883715044265972E-2</v>
      </c>
      <c r="F35" s="71">
        <f>IFERROR(F30/$B35,0)</f>
        <v>8746.0133754100443</v>
      </c>
      <c r="G35" s="70">
        <f t="shared" si="12"/>
        <v>1.0810438230430154E-2</v>
      </c>
      <c r="H35" s="70">
        <f t="shared" si="13"/>
        <v>1.6252523911486937E-5</v>
      </c>
      <c r="I35" s="71">
        <f t="shared" ref="I35:R35" si="18">IFERROR(I30/$B35,0)</f>
        <v>3702.9989502961771</v>
      </c>
      <c r="J35" s="71">
        <f t="shared" si="18"/>
        <v>12564.658507211858</v>
      </c>
      <c r="K35" s="71">
        <f t="shared" si="18"/>
        <v>5190.5284431501977</v>
      </c>
      <c r="L35" s="71">
        <f t="shared" si="18"/>
        <v>3827.4695032473091</v>
      </c>
      <c r="M35" s="71">
        <f t="shared" si="18"/>
        <v>6116.0932695175143</v>
      </c>
      <c r="N35" s="71">
        <f t="shared" si="18"/>
        <v>5295.2884989235336</v>
      </c>
      <c r="O35" s="71">
        <f t="shared" si="18"/>
        <v>17967.461665312952</v>
      </c>
      <c r="P35" s="71">
        <f t="shared" si="18"/>
        <v>7422.4556737047815</v>
      </c>
      <c r="Q35" s="71">
        <f t="shared" si="18"/>
        <v>5473.2813896436519</v>
      </c>
      <c r="R35" s="71">
        <f t="shared" si="18"/>
        <v>8746.0133754100443</v>
      </c>
    </row>
    <row r="36" spans="1:18">
      <c r="A36" s="65" t="s">
        <v>394</v>
      </c>
      <c r="B36" s="89">
        <v>1</v>
      </c>
      <c r="C36" s="71">
        <f>IFERROR(C26/$B36,0)</f>
        <v>1.2281718551400773E-2</v>
      </c>
      <c r="D36" s="71">
        <f>IFERROR(D26/$B36,0)</f>
        <v>2.2175328363777022E-6</v>
      </c>
      <c r="E36" s="71">
        <f>IFERROR(E26/$B36,0)</f>
        <v>1.6212220523965494E-3</v>
      </c>
      <c r="F36" s="71">
        <f>IFERROR(F26/$B36,0)</f>
        <v>53.717449892841053</v>
      </c>
      <c r="G36" s="70">
        <f t="shared" si="12"/>
        <v>1.4321331491606122E-3</v>
      </c>
      <c r="H36" s="70">
        <f t="shared" si="13"/>
        <v>2.2171324292160257E-6</v>
      </c>
      <c r="I36" s="71">
        <f t="shared" ref="I36:R36" si="19">IFERROR(I26/$B36,0)</f>
        <v>12.101155367920677</v>
      </c>
      <c r="J36" s="71">
        <f t="shared" si="19"/>
        <v>40.600826288884186</v>
      </c>
      <c r="K36" s="71">
        <f t="shared" si="19"/>
        <v>15.928016467177647</v>
      </c>
      <c r="L36" s="71">
        <f t="shared" si="19"/>
        <v>12.260381096445949</v>
      </c>
      <c r="M36" s="71">
        <f t="shared" si="19"/>
        <v>38.424499208040807</v>
      </c>
      <c r="N36" s="71">
        <f t="shared" si="19"/>
        <v>16.917415204353105</v>
      </c>
      <c r="O36" s="71">
        <f t="shared" si="19"/>
        <v>56.759955151860098</v>
      </c>
      <c r="P36" s="71">
        <f t="shared" si="19"/>
        <v>22.267367021114342</v>
      </c>
      <c r="Q36" s="71">
        <f t="shared" si="19"/>
        <v>17.140012772831437</v>
      </c>
      <c r="R36" s="71">
        <f t="shared" si="19"/>
        <v>53.717449892841053</v>
      </c>
    </row>
    <row r="37" spans="1:18">
      <c r="A37" s="65" t="s">
        <v>395</v>
      </c>
      <c r="B37" s="89">
        <v>1</v>
      </c>
      <c r="C37" s="71">
        <f>IFERROR(C22/$B37,0)</f>
        <v>6.1531903184226765E-2</v>
      </c>
      <c r="D37" s="71">
        <f>IFERROR(D22/$B37,0)</f>
        <v>1.9907696688051905E-5</v>
      </c>
      <c r="E37" s="71">
        <f>IFERROR(E22/$B37,0)</f>
        <v>1.4554371576211591E-2</v>
      </c>
      <c r="F37" s="71">
        <f>IFERROR(F22/$B37,0)</f>
        <v>378.46385151774376</v>
      </c>
      <c r="G37" s="70">
        <f t="shared" si="12"/>
        <v>1.1769932676930618E-2</v>
      </c>
      <c r="H37" s="70">
        <f t="shared" si="13"/>
        <v>1.9901256896998897E-5</v>
      </c>
      <c r="I37" s="71">
        <f t="shared" ref="I37:R37" si="20">IFERROR(I22/$B37,0)</f>
        <v>396.07012365329877</v>
      </c>
      <c r="J37" s="71">
        <f t="shared" si="20"/>
        <v>546.02730919833391</v>
      </c>
      <c r="K37" s="71">
        <f t="shared" si="20"/>
        <v>397.737787331839</v>
      </c>
      <c r="L37" s="71">
        <f t="shared" si="20"/>
        <v>396.07012365329877</v>
      </c>
      <c r="M37" s="71">
        <f t="shared" si="20"/>
        <v>274.4480431600752</v>
      </c>
      <c r="N37" s="71">
        <f t="shared" si="20"/>
        <v>546.18070051789903</v>
      </c>
      <c r="O37" s="71">
        <f t="shared" si="20"/>
        <v>752.97165938450246</v>
      </c>
      <c r="P37" s="71">
        <f t="shared" si="20"/>
        <v>548.48040873060597</v>
      </c>
      <c r="Q37" s="71">
        <f t="shared" si="20"/>
        <v>546.18070051789903</v>
      </c>
      <c r="R37" s="71">
        <f t="shared" si="20"/>
        <v>378.46385151774376</v>
      </c>
    </row>
    <row r="38" spans="1:18">
      <c r="A38" s="65" t="s">
        <v>396</v>
      </c>
      <c r="B38" s="89">
        <v>1</v>
      </c>
      <c r="C38" s="71">
        <f>IFERROR(C2/$B38,0)</f>
        <v>0.15877143930437787</v>
      </c>
      <c r="D38" s="71">
        <f>IFERROR(D2/$B38,0)</f>
        <v>1.823787899199526E-5</v>
      </c>
      <c r="E38" s="71">
        <f>IFERROR(E2/$B38,0)</f>
        <v>1.3333580060559857E-2</v>
      </c>
      <c r="F38" s="71">
        <f>IFERROR(F2/$B38,0)</f>
        <v>315.38654293145311</v>
      </c>
      <c r="G38" s="70">
        <f t="shared" si="12"/>
        <v>1.2300101079308982E-2</v>
      </c>
      <c r="H38" s="70">
        <f t="shared" si="13"/>
        <v>1.8235783215594774E-5</v>
      </c>
      <c r="I38" s="71">
        <f t="shared" ref="I38:R38" si="21">IFERROR(I2/$B38,0)</f>
        <v>65.336715798999833</v>
      </c>
      <c r="J38" s="71">
        <f t="shared" si="21"/>
        <v>236.75147978382779</v>
      </c>
      <c r="K38" s="71">
        <f t="shared" si="21"/>
        <v>90.638679270181129</v>
      </c>
      <c r="L38" s="71">
        <f t="shared" si="21"/>
        <v>67.237420258607102</v>
      </c>
      <c r="M38" s="71">
        <f t="shared" si="21"/>
        <v>223.8371489932243</v>
      </c>
      <c r="N38" s="71">
        <f t="shared" si="21"/>
        <v>92.059432560790768</v>
      </c>
      <c r="O38" s="71">
        <f t="shared" si="21"/>
        <v>333.58283501541337</v>
      </c>
      <c r="P38" s="71">
        <f t="shared" si="21"/>
        <v>127.70989909168522</v>
      </c>
      <c r="Q38" s="71">
        <f t="shared" si="21"/>
        <v>94.737525144377415</v>
      </c>
      <c r="R38" s="71">
        <f t="shared" si="21"/>
        <v>315.38654293145311</v>
      </c>
    </row>
    <row r="39" spans="1:18">
      <c r="A39" s="65" t="s">
        <v>397</v>
      </c>
      <c r="B39" s="89">
        <v>1</v>
      </c>
      <c r="C39" s="71">
        <f>IFERROR(C11/$B39,0)</f>
        <v>0</v>
      </c>
      <c r="D39" s="71">
        <f>IFERROR(D11/$B39,0)</f>
        <v>0</v>
      </c>
      <c r="E39" s="71">
        <f>IFERROR(E11/$B39,0)</f>
        <v>0</v>
      </c>
      <c r="F39" s="71">
        <f>IFERROR(F11/$B39,0)</f>
        <v>154.76216976562014</v>
      </c>
      <c r="G39" s="70">
        <f t="shared" si="12"/>
        <v>154.76216976562014</v>
      </c>
      <c r="H39" s="70">
        <f t="shared" si="13"/>
        <v>154.76216976562014</v>
      </c>
      <c r="I39" s="71">
        <f t="shared" ref="I39:R39" si="22">IFERROR(I11/$B39,0)</f>
        <v>28.794104550196103</v>
      </c>
      <c r="J39" s="71">
        <f t="shared" si="22"/>
        <v>120.05962891397559</v>
      </c>
      <c r="K39" s="71">
        <f t="shared" si="22"/>
        <v>42.950201975501727</v>
      </c>
      <c r="L39" s="71">
        <f t="shared" si="22"/>
        <v>29.927400210335019</v>
      </c>
      <c r="M39" s="71">
        <f t="shared" si="22"/>
        <v>121.95600454343587</v>
      </c>
      <c r="N39" s="71">
        <f t="shared" si="22"/>
        <v>36.539718674198852</v>
      </c>
      <c r="O39" s="71">
        <f t="shared" si="22"/>
        <v>152.35566909183495</v>
      </c>
      <c r="P39" s="71">
        <f t="shared" si="22"/>
        <v>54.503806306911677</v>
      </c>
      <c r="Q39" s="71">
        <f t="shared" si="22"/>
        <v>37.97787086691514</v>
      </c>
      <c r="R39" s="71">
        <f t="shared" si="22"/>
        <v>154.76216976562014</v>
      </c>
    </row>
    <row r="40" spans="1:18">
      <c r="A40" s="65" t="s">
        <v>398</v>
      </c>
      <c r="B40" s="89">
        <v>1</v>
      </c>
      <c r="C40" s="71">
        <f>IFERROR(C4/$B40,0)</f>
        <v>0</v>
      </c>
      <c r="D40" s="71">
        <f>IFERROR(D4/$B40,0)</f>
        <v>0</v>
      </c>
      <c r="E40" s="71">
        <f>IFERROR(E4/$B40,0)</f>
        <v>0</v>
      </c>
      <c r="F40" s="71">
        <f>IFERROR(F4/$B40,0)</f>
        <v>18339.658003062468</v>
      </c>
      <c r="G40" s="70">
        <f t="shared" si="12"/>
        <v>18339.658003062468</v>
      </c>
      <c r="H40" s="70">
        <f t="shared" si="13"/>
        <v>18339.658003062468</v>
      </c>
      <c r="I40" s="71">
        <f t="shared" ref="I40:R40" si="23">IFERROR(I4/$B40,0)</f>
        <v>3385.1536361715898</v>
      </c>
      <c r="J40" s="71">
        <f t="shared" si="23"/>
        <v>14927.587215062216</v>
      </c>
      <c r="K40" s="71">
        <f t="shared" si="23"/>
        <v>5347.1954203207933</v>
      </c>
      <c r="L40" s="71">
        <f t="shared" si="23"/>
        <v>3618.809021833265</v>
      </c>
      <c r="M40" s="71">
        <f t="shared" si="23"/>
        <v>15131.731025629104</v>
      </c>
      <c r="N40" s="71">
        <f t="shared" si="23"/>
        <v>4102.8062070399656</v>
      </c>
      <c r="O40" s="71">
        <f t="shared" si="23"/>
        <v>18092.235704655406</v>
      </c>
      <c r="P40" s="71">
        <f t="shared" si="23"/>
        <v>6480.8008494288024</v>
      </c>
      <c r="Q40" s="71">
        <f t="shared" si="23"/>
        <v>4385.9965344619168</v>
      </c>
      <c r="R40" s="71">
        <f t="shared" si="23"/>
        <v>18339.658003062468</v>
      </c>
    </row>
    <row r="41" spans="1:18">
      <c r="A41" s="65" t="s">
        <v>399</v>
      </c>
      <c r="B41" s="90">
        <v>0.99987999999999999</v>
      </c>
      <c r="C41" s="71">
        <f>IFERROR(C8/$B41,0)</f>
        <v>30.956126639989652</v>
      </c>
      <c r="D41" s="71">
        <f>IFERROR(D8/$B41,0)</f>
        <v>4.7167273916959192E-3</v>
      </c>
      <c r="E41" s="71">
        <f>IFERROR(E8/$B41,0)</f>
        <v>3.44836492931094</v>
      </c>
      <c r="F41" s="71">
        <f>IFERROR(F8/$B41,0)</f>
        <v>25.387817066677155</v>
      </c>
      <c r="G41" s="70">
        <f t="shared" si="12"/>
        <v>2.7648347866012162</v>
      </c>
      <c r="H41" s="70">
        <f t="shared" si="13"/>
        <v>4.7151329450719013E-3</v>
      </c>
      <c r="I41" s="71">
        <f t="shared" ref="I41:R41" si="24">IFERROR(I8/$B41,0)</f>
        <v>5.8371147102582457</v>
      </c>
      <c r="J41" s="71">
        <f t="shared" si="24"/>
        <v>27.019600168239428</v>
      </c>
      <c r="K41" s="71">
        <f t="shared" si="24"/>
        <v>9.675937898085742</v>
      </c>
      <c r="L41" s="71">
        <f t="shared" si="24"/>
        <v>6.3740599803413511</v>
      </c>
      <c r="M41" s="71">
        <f t="shared" si="24"/>
        <v>20.929774993138622</v>
      </c>
      <c r="N41" s="71">
        <f t="shared" si="24"/>
        <v>7.0804201435432521</v>
      </c>
      <c r="O41" s="71">
        <f t="shared" si="24"/>
        <v>32.774775004074428</v>
      </c>
      <c r="P41" s="71">
        <f t="shared" si="24"/>
        <v>11.736912670378006</v>
      </c>
      <c r="Q41" s="71">
        <f t="shared" si="24"/>
        <v>7.731734756154057</v>
      </c>
      <c r="R41" s="71">
        <f t="shared" si="24"/>
        <v>25.387817066677155</v>
      </c>
    </row>
    <row r="42" spans="1:18">
      <c r="A42" s="65" t="s">
        <v>400</v>
      </c>
      <c r="B42" s="89">
        <v>0.97898250799999997</v>
      </c>
      <c r="C42" s="71">
        <f>IFERROR(C19/$B42,0)</f>
        <v>0</v>
      </c>
      <c r="D42" s="71">
        <f>IFERROR(D19/$B42,0)</f>
        <v>0</v>
      </c>
      <c r="E42" s="71">
        <f>IFERROR(E19/$B42,0)</f>
        <v>0</v>
      </c>
      <c r="F42" s="71">
        <f>IFERROR(F19/$B42,0)</f>
        <v>119117.05338879654</v>
      </c>
      <c r="G42" s="70">
        <f t="shared" si="12"/>
        <v>119117.05338879653</v>
      </c>
      <c r="H42" s="70">
        <f t="shared" si="13"/>
        <v>119117.05338879653</v>
      </c>
      <c r="I42" s="71">
        <f t="shared" ref="I42:R42" si="25">IFERROR(I19/$B42,0)</f>
        <v>0</v>
      </c>
      <c r="J42" s="71">
        <f t="shared" si="25"/>
        <v>0</v>
      </c>
      <c r="K42" s="71">
        <f t="shared" si="25"/>
        <v>0</v>
      </c>
      <c r="L42" s="71">
        <f t="shared" si="25"/>
        <v>0</v>
      </c>
      <c r="M42" s="71">
        <f t="shared" si="25"/>
        <v>0</v>
      </c>
      <c r="N42" s="71">
        <f t="shared" si="25"/>
        <v>22941.499871661843</v>
      </c>
      <c r="O42" s="71">
        <f t="shared" si="25"/>
        <v>117752.83119968028</v>
      </c>
      <c r="P42" s="71">
        <f t="shared" si="25"/>
        <v>41131.591732809495</v>
      </c>
      <c r="Q42" s="71">
        <f t="shared" si="25"/>
        <v>26090.333187380136</v>
      </c>
      <c r="R42" s="71">
        <f t="shared" si="25"/>
        <v>119117.05338879654</v>
      </c>
    </row>
    <row r="43" spans="1:18">
      <c r="A43" s="65" t="s">
        <v>401</v>
      </c>
      <c r="B43" s="89">
        <v>2.0897492E-2</v>
      </c>
      <c r="C43" s="71">
        <f>IFERROR(C28/$B43,0)</f>
        <v>0</v>
      </c>
      <c r="D43" s="71">
        <f>IFERROR(D28/$B43,0)</f>
        <v>0</v>
      </c>
      <c r="E43" s="71">
        <f>IFERROR(E28/$B43,0)</f>
        <v>0</v>
      </c>
      <c r="F43" s="71">
        <f>IFERROR(F28/$B43,0)</f>
        <v>98.621488439410996</v>
      </c>
      <c r="G43" s="70">
        <f t="shared" si="12"/>
        <v>98.621488439410996</v>
      </c>
      <c r="H43" s="70">
        <f t="shared" si="13"/>
        <v>98.621488439410996</v>
      </c>
      <c r="I43" s="71">
        <f t="shared" ref="I43:R43" si="26">IFERROR(I28/$B43,0)</f>
        <v>15.585083013581071</v>
      </c>
      <c r="J43" s="71">
        <f t="shared" si="26"/>
        <v>85.223192034582226</v>
      </c>
      <c r="K43" s="71">
        <f t="shared" si="26"/>
        <v>29.663320984412596</v>
      </c>
      <c r="L43" s="71">
        <f t="shared" si="26"/>
        <v>18.545979613743285</v>
      </c>
      <c r="M43" s="71">
        <f t="shared" si="26"/>
        <v>84.945295813446151</v>
      </c>
      <c r="N43" s="71">
        <f t="shared" si="26"/>
        <v>18.094281378767626</v>
      </c>
      <c r="O43" s="71">
        <f t="shared" si="26"/>
        <v>98.94412595214996</v>
      </c>
      <c r="P43" s="71">
        <f t="shared" si="26"/>
        <v>34.439115662903028</v>
      </c>
      <c r="Q43" s="71">
        <f t="shared" si="26"/>
        <v>21.531882331555948</v>
      </c>
      <c r="R43" s="71">
        <f t="shared" si="26"/>
        <v>98.621488439410996</v>
      </c>
    </row>
    <row r="44" spans="1:18">
      <c r="A44" s="65" t="s">
        <v>402</v>
      </c>
      <c r="B44" s="89">
        <v>0.99987999999999999</v>
      </c>
      <c r="C44" s="71">
        <f>IFERROR(C15/$B44,0)</f>
        <v>108.10075969520197</v>
      </c>
      <c r="D44" s="71">
        <f>IFERROR(D15/$B44,0)</f>
        <v>2.3989086304470653</v>
      </c>
      <c r="E44" s="71">
        <f>IFERROR(E15/$B44,0)</f>
        <v>1753.8245700650198</v>
      </c>
      <c r="F44" s="71">
        <f>IFERROR(F15/$B44,0)</f>
        <v>1450.2270982009939</v>
      </c>
      <c r="G44" s="70">
        <f t="shared" si="12"/>
        <v>95.144233885512136</v>
      </c>
      <c r="H44" s="70">
        <f t="shared" si="13"/>
        <v>2.3430375552358131</v>
      </c>
      <c r="I44" s="71">
        <f t="shared" ref="I44:R44" si="27">IFERROR(I15/$B44,0)</f>
        <v>5155.8973821219597</v>
      </c>
      <c r="J44" s="71">
        <f t="shared" si="27"/>
        <v>13150.801550602211</v>
      </c>
      <c r="K44" s="71">
        <f t="shared" si="27"/>
        <v>6513.5631504550138</v>
      </c>
      <c r="L44" s="71">
        <f t="shared" si="27"/>
        <v>5233.8202644714083</v>
      </c>
      <c r="M44" s="71">
        <f t="shared" si="27"/>
        <v>1040.8328455987994</v>
      </c>
      <c r="N44" s="71">
        <f t="shared" si="27"/>
        <v>7183.8836857565957</v>
      </c>
      <c r="O44" s="71">
        <f t="shared" si="27"/>
        <v>18323.450160505752</v>
      </c>
      <c r="P44" s="71">
        <f t="shared" si="27"/>
        <v>9075.5646563006503</v>
      </c>
      <c r="Q44" s="71">
        <f t="shared" si="27"/>
        <v>7292.4562351634959</v>
      </c>
      <c r="R44" s="71">
        <f t="shared" si="27"/>
        <v>1450.2270982009939</v>
      </c>
    </row>
    <row r="45" spans="1:18">
      <c r="A45" s="63" t="s">
        <v>15</v>
      </c>
      <c r="B45" s="82" t="s">
        <v>6</v>
      </c>
      <c r="C45" s="67">
        <f>IFERROR(1/SUM(1/C46),0)</f>
        <v>0.4506307027315431</v>
      </c>
      <c r="D45" s="67">
        <f t="shared" ref="D45:E45" si="28">IFERROR(1/SUM(1/D46),0)</f>
        <v>4.0149575334896036E-3</v>
      </c>
      <c r="E45" s="67">
        <f t="shared" si="28"/>
        <v>2.9353061140513068</v>
      </c>
      <c r="F45" s="67">
        <f>IFERROR(1/SUM(1/F46,1/F47),0)</f>
        <v>7.5995060692514675</v>
      </c>
      <c r="G45" s="68">
        <f>IFERROR(1/SUM(1/G46,1/G47),0)</f>
        <v>0.37155667242147222</v>
      </c>
      <c r="H45" s="68">
        <f t="shared" ref="H45:R45" si="29">IFERROR(1/SUM(1/H46,1/H47),0)</f>
        <v>3.9774188190860012E-3</v>
      </c>
      <c r="I45" s="67">
        <f t="shared" si="29"/>
        <v>1.2809650117660814</v>
      </c>
      <c r="J45" s="67">
        <f t="shared" si="29"/>
        <v>6.4379623596209132</v>
      </c>
      <c r="K45" s="67">
        <f t="shared" si="29"/>
        <v>2.2507469919500291</v>
      </c>
      <c r="L45" s="67">
        <f t="shared" si="29"/>
        <v>1.4400477978410851</v>
      </c>
      <c r="M45" s="67">
        <f t="shared" si="29"/>
        <v>6.384177772657802</v>
      </c>
      <c r="N45" s="67">
        <f t="shared" si="29"/>
        <v>1.524370669197908</v>
      </c>
      <c r="O45" s="67">
        <f t="shared" si="29"/>
        <v>7.6614357166898257</v>
      </c>
      <c r="P45" s="67">
        <f t="shared" si="29"/>
        <v>2.6784444553002409</v>
      </c>
      <c r="Q45" s="67">
        <f t="shared" si="29"/>
        <v>1.7136845838623498</v>
      </c>
      <c r="R45" s="67">
        <f t="shared" si="29"/>
        <v>7.5995060692514675</v>
      </c>
    </row>
    <row r="46" spans="1:18">
      <c r="A46" s="65" t="s">
        <v>403</v>
      </c>
      <c r="B46" s="89">
        <v>1</v>
      </c>
      <c r="C46" s="71">
        <f>IFERROR(C10/$B46,0)</f>
        <v>0.4506307027315431</v>
      </c>
      <c r="D46" s="71">
        <f>IFERROR(D10/$B46,0)</f>
        <v>4.0149575334896036E-3</v>
      </c>
      <c r="E46" s="71">
        <f>IFERROR(E10/$B46,0)</f>
        <v>2.9353061140513068</v>
      </c>
      <c r="F46" s="71">
        <f>IFERROR(F10/$B46,0)</f>
        <v>1330.0646538962239</v>
      </c>
      <c r="G46" s="70">
        <f>(IF(AND(C46&lt;&gt;0,E46&lt;&gt;0,F46&lt;&gt;0),1/((1/C46)+(1/E46)+(1/F46)),IF(AND(C46&lt;&gt;0,E46&lt;&gt;0,F46=0), 1/((1/C46)+(1/E46)),IF(AND(C46&lt;&gt;0,E46=0,F46&lt;&gt;0),1/((1/C46)+(1/F46)),IF(AND(C46=0,E46&lt;&gt;0,F46&lt;&gt;0),1/((1/E46)+(1/F46)),IF(AND(C46&lt;&gt;0,E46=0,F46=0),1/(1/C46),IF(AND(C46=0,E46&lt;&gt;0,F46=0),1/(1/E46),IF(AND(C46=0,E46=0,F46&lt;&gt;0),1/(1/F46),IF(AND(C46=0,E46=0,F46=0),0)))))))))</f>
        <v>0.39054203826332989</v>
      </c>
      <c r="H46" s="70">
        <f>(IF(AND(C46&lt;&gt;0,D46&lt;&gt;0,F46&lt;&gt;0),1/((1/C46)+(1/D46)+(1/F46)),IF(AND(C46&lt;&gt;0,D46&lt;&gt;0,F46=0), 1/((1/C46)+(1/D46)),IF(AND(C46&lt;&gt;0,D46=0,F46&lt;&gt;0),1/((1/C46)+(1/F46)),IF(AND(C46=0,D46&lt;&gt;0,F46&lt;&gt;0),1/((1/D46)+(1/F46)),IF(AND(C46&lt;&gt;0,D46=0,F46=0),1/(1/C46),IF(AND(C46=0,D46&lt;&gt;0,F46=0),1/(1/D46),IF(AND(C46=0,D46=0,F46&lt;&gt;0),1/(1/F46),IF(AND(C46=0,D46=0,F46=0),0)))))))))</f>
        <v>3.9794896985719417E-3</v>
      </c>
      <c r="I46" s="71">
        <f t="shared" ref="I46:R46" si="30">IFERROR(I10/$B46,0)</f>
        <v>4467.9081845112905</v>
      </c>
      <c r="J46" s="71">
        <f t="shared" si="30"/>
        <v>9663.1502595244183</v>
      </c>
      <c r="K46" s="71">
        <f t="shared" si="30"/>
        <v>5540.2061487939991</v>
      </c>
      <c r="L46" s="71">
        <f t="shared" si="30"/>
        <v>4546.1210192510935</v>
      </c>
      <c r="M46" s="71">
        <f t="shared" si="30"/>
        <v>1060.6576187370208</v>
      </c>
      <c r="N46" s="71">
        <f t="shared" si="30"/>
        <v>5602.756863377158</v>
      </c>
      <c r="O46" s="71">
        <f t="shared" si="30"/>
        <v>12117.590425443621</v>
      </c>
      <c r="P46" s="71">
        <f t="shared" si="30"/>
        <v>6947.4185105876759</v>
      </c>
      <c r="Q46" s="71">
        <f t="shared" si="30"/>
        <v>5700.8357581408718</v>
      </c>
      <c r="R46" s="71">
        <f t="shared" si="30"/>
        <v>1330.0646538962239</v>
      </c>
    </row>
    <row r="47" spans="1:18">
      <c r="A47" s="65" t="s">
        <v>404</v>
      </c>
      <c r="B47" s="89">
        <v>0.94399</v>
      </c>
      <c r="C47" s="71">
        <f>IFERROR(C6/$B47,0)</f>
        <v>0</v>
      </c>
      <c r="D47" s="71">
        <f>IFERROR(D6/$B47,0)</f>
        <v>0</v>
      </c>
      <c r="E47" s="71">
        <f>IFERROR(E6/$B47,0)</f>
        <v>0</v>
      </c>
      <c r="F47" s="71">
        <f>IFERROR(F6/$B47,0)</f>
        <v>7.6431764015785522</v>
      </c>
      <c r="G47" s="70">
        <f>(IF(AND(C47&lt;&gt;0,E47&lt;&gt;0,F47&lt;&gt;0),1/((1/C47)+(1/E47)+(1/F47)),IF(AND(C47&lt;&gt;0,E47&lt;&gt;0,F47=0), 1/((1/C47)+(1/E47)),IF(AND(C47&lt;&gt;0,E47=0,F47&lt;&gt;0),1/((1/C47)+(1/F47)),IF(AND(C47=0,E47&lt;&gt;0,F47&lt;&gt;0),1/((1/E47)+(1/F47)),IF(AND(C47&lt;&gt;0,E47=0,F47=0),1/(1/C47),IF(AND(C47=0,E47&lt;&gt;0,F47=0),1/(1/E47),IF(AND(C47=0,E47=0,F47&lt;&gt;0),1/(1/F47),IF(AND(C47=0,E47=0,F47=0),0)))))))))</f>
        <v>7.6431764015785513</v>
      </c>
      <c r="H47" s="70">
        <f>(IF(AND(C47&lt;&gt;0,D47&lt;&gt;0,F47&lt;&gt;0),1/((1/C47)+(1/D47)+(1/F47)),IF(AND(C47&lt;&gt;0,D47&lt;&gt;0,F47=0), 1/((1/C47)+(1/D47)),IF(AND(C47&lt;&gt;0,D47=0,F47&lt;&gt;0),1/((1/C47)+(1/F47)),IF(AND(C47=0,D47&lt;&gt;0,F47&lt;&gt;0),1/((1/D47)+(1/F47)),IF(AND(C47&lt;&gt;0,D47=0,F47=0),1/(1/C47),IF(AND(C47=0,D47&lt;&gt;0,F47=0),1/(1/D47),IF(AND(C47=0,D47=0,F47&lt;&gt;0),1/(1/F47),IF(AND(C47=0,D47=0,F47=0),0)))))))))</f>
        <v>7.6431764015785513</v>
      </c>
      <c r="I47" s="71">
        <f t="shared" ref="I47:R47" si="31">IFERROR(I6/$B47,0)</f>
        <v>1.2813323742704348</v>
      </c>
      <c r="J47" s="71">
        <f t="shared" si="31"/>
        <v>6.4422544373041291</v>
      </c>
      <c r="K47" s="71">
        <f t="shared" si="31"/>
        <v>2.2516617450771714</v>
      </c>
      <c r="L47" s="71">
        <f t="shared" si="31"/>
        <v>1.4405040977822896</v>
      </c>
      <c r="M47" s="71">
        <f t="shared" si="31"/>
        <v>6.4228373122508851</v>
      </c>
      <c r="N47" s="71">
        <f t="shared" si="31"/>
        <v>1.524785525381817</v>
      </c>
      <c r="O47" s="71">
        <f t="shared" si="31"/>
        <v>7.6662827803919145</v>
      </c>
      <c r="P47" s="71">
        <f t="shared" si="31"/>
        <v>2.6794774766418339</v>
      </c>
      <c r="Q47" s="71">
        <f t="shared" si="31"/>
        <v>1.7141998763609247</v>
      </c>
      <c r="R47" s="71">
        <f t="shared" si="31"/>
        <v>7.6431764015785522</v>
      </c>
    </row>
    <row r="48" spans="1:18">
      <c r="A48" s="63" t="s">
        <v>28</v>
      </c>
      <c r="B48" s="82" t="s">
        <v>6</v>
      </c>
      <c r="C48" s="67">
        <f>IFERROR(1/SUM(1/C49,1/C52,1/C54,1/C58,1/C59,1/C61),0)</f>
        <v>2.8015573669008705E-3</v>
      </c>
      <c r="D48" s="67">
        <f>IFERROR(1/SUM(1/D49,1/D50,1/D51,1/D52,1/D54,1/D58,1/D59,1/D61),0)</f>
        <v>7.9039396524240638E-6</v>
      </c>
      <c r="E48" s="67">
        <f>IFERROR(1/SUM(1/E49,1/E50,1/E51,1/E52,1/E54,1/E58,1/E59,1/E61),0)</f>
        <v>5.77851252306726E-3</v>
      </c>
      <c r="F48" s="67">
        <f>IFERROR(1/SUM(1/F49,1/F50,1/F51,1/F52,1/F53,1/F54,1/F55,1/F56,1/F57,1/F58,1/F59,1/F60,1/F61,1/F62),0)</f>
        <v>2.4375341091628147</v>
      </c>
      <c r="G48" s="68">
        <f t="shared" ref="G48:H48" si="32">IFERROR(1/SUM(1/G49,1/G50,1/G51,1/G52,1/G53,1/G54,1/G55,1/G56,1/G57,1/G58,1/G59,1/G60,1/G61,1/G62),0)</f>
        <v>1.8853357974883422E-3</v>
      </c>
      <c r="H48" s="68">
        <f t="shared" si="32"/>
        <v>7.8816777826599153E-6</v>
      </c>
      <c r="I48" s="67">
        <f>IFERROR(1/SUM(1/I49,1/I50,1/I51,1/I52,1/I53,1/I54,1/I55,1/I56,1/I58,1/I59,1/I61,1/I62),0)</f>
        <v>0.39978487004889923</v>
      </c>
      <c r="J48" s="67">
        <f t="shared" ref="J48:M48" si="33">IFERROR(1/SUM(1/J49,1/J50,1/J51,1/J52,1/J53,1/J54,1/J55,1/J56,1/J58,1/J59,1/J61,1/J62),0)</f>
        <v>2.1650714978875474</v>
      </c>
      <c r="K48" s="67">
        <f t="shared" si="33"/>
        <v>0.75314426840553406</v>
      </c>
      <c r="L48" s="67">
        <f t="shared" si="33"/>
        <v>0.47150108576888045</v>
      </c>
      <c r="M48" s="67">
        <f t="shared" si="33"/>
        <v>2.0818089382031388</v>
      </c>
      <c r="N48" s="67">
        <f t="shared" ref="N48:R48" si="34">IFERROR(1/SUM(1/N49,1/N50,1/N51,1/N52,1/N53,1/N54,1/N55,1/N56,1/N57,1/N58,1/N59,1/N60,1/N61,1/N62),0)</f>
        <v>0.46629244848528223</v>
      </c>
      <c r="O48" s="67">
        <f t="shared" si="34"/>
        <v>2.5312723791765643</v>
      </c>
      <c r="P48" s="67">
        <f t="shared" si="34"/>
        <v>0.88017269451842173</v>
      </c>
      <c r="Q48" s="67">
        <f t="shared" si="34"/>
        <v>0.55052657565839425</v>
      </c>
      <c r="R48" s="67">
        <f t="shared" si="34"/>
        <v>2.4375341091628147</v>
      </c>
    </row>
    <row r="49" spans="1:18">
      <c r="A49" s="65" t="s">
        <v>405</v>
      </c>
      <c r="B49" s="89">
        <v>1</v>
      </c>
      <c r="C49" s="71">
        <f>IFERROR(C23/$B49,0)</f>
        <v>2.1887776989817805E-2</v>
      </c>
      <c r="D49" s="71">
        <f>IFERROR(D23/$B49,0)</f>
        <v>1.6254730985098688E-5</v>
      </c>
      <c r="E49" s="71">
        <f>IFERROR(E23/$B49,0)</f>
        <v>1.1883715044265972E-2</v>
      </c>
      <c r="F49" s="71">
        <f>IFERROR(F23/$B49,0)</f>
        <v>623.21891716993741</v>
      </c>
      <c r="G49" s="70">
        <f t="shared" ref="G49:G62" si="35">(IF(AND(C49&lt;&gt;0,E49&lt;&gt;0,F49&lt;&gt;0),1/((1/C49)+(1/E49)+(1/F49)),IF(AND(C49&lt;&gt;0,E49&lt;&gt;0,F49=0), 1/((1/C49)+(1/E49)),IF(AND(C49&lt;&gt;0,E49=0,F49&lt;&gt;0),1/((1/C49)+(1/F49)),IF(AND(C49=0,E49&lt;&gt;0,F49&lt;&gt;0),1/((1/E49)+(1/F49)),IF(AND(C49&lt;&gt;0,E49=0,F49=0),1/(1/C49),IF(AND(C49=0,E49&lt;&gt;0,F49=0),1/(1/E49),IF(AND(C49=0,E49=0,F49&lt;&gt;0),1/(1/F49),IF(AND(C49=0,E49=0,F49=0),0)))))))))</f>
        <v>7.7019069797395383E-3</v>
      </c>
      <c r="H49" s="70">
        <f t="shared" ref="H49:H62" si="36">(IF(AND(C49&lt;&gt;0,D49&lt;&gt;0,F49&lt;&gt;0),1/((1/C49)+(1/D49)+(1/F49)),IF(AND(C49&lt;&gt;0,D49&lt;&gt;0,F49=0), 1/((1/C49)+(1/D49)),IF(AND(C49&lt;&gt;0,D49=0,F49&lt;&gt;0),1/((1/C49)+(1/F49)),IF(AND(C49=0,D49&lt;&gt;0,F49&lt;&gt;0),1/((1/D49)+(1/F49)),IF(AND(C49&lt;&gt;0,D49=0,F49=0),1/(1/C49),IF(AND(C49=0,D49&lt;&gt;0,F49=0),1/(1/D49),IF(AND(C49=0,D49=0,F49&lt;&gt;0),1/(1/F49),IF(AND(C49=0,D49=0,F49=0),0)))))))))</f>
        <v>1.6242668112140208E-5</v>
      </c>
      <c r="I49" s="71">
        <f t="shared" ref="I49:R49" si="37">IFERROR(I23/$B49,0)</f>
        <v>118.61600534831443</v>
      </c>
      <c r="J49" s="71">
        <f t="shared" si="37"/>
        <v>475.58304031163817</v>
      </c>
      <c r="K49" s="71">
        <f t="shared" si="37"/>
        <v>172.34804195908936</v>
      </c>
      <c r="L49" s="71">
        <f t="shared" si="37"/>
        <v>121.47422234465935</v>
      </c>
      <c r="M49" s="71">
        <f t="shared" si="37"/>
        <v>482.36758294886795</v>
      </c>
      <c r="N49" s="71">
        <f t="shared" si="37"/>
        <v>153.25187891002227</v>
      </c>
      <c r="O49" s="71">
        <f t="shared" si="37"/>
        <v>614.45328808263639</v>
      </c>
      <c r="P49" s="71">
        <f t="shared" si="37"/>
        <v>222.67367021114347</v>
      </c>
      <c r="Q49" s="71">
        <f t="shared" si="37"/>
        <v>156.9446952692999</v>
      </c>
      <c r="R49" s="71">
        <f t="shared" si="37"/>
        <v>623.21891716993741</v>
      </c>
    </row>
    <row r="50" spans="1:18">
      <c r="A50" s="65" t="s">
        <v>406</v>
      </c>
      <c r="B50" s="89">
        <v>1</v>
      </c>
      <c r="C50" s="71">
        <f>IFERROR(C25/$B50,0)</f>
        <v>0</v>
      </c>
      <c r="D50" s="71">
        <f>IFERROR(D25/$B50,0)</f>
        <v>9.457523631177267E-2</v>
      </c>
      <c r="E50" s="71">
        <f>IFERROR(E25/$B50,0)</f>
        <v>69.143264173584143</v>
      </c>
      <c r="F50" s="71">
        <f>IFERROR(F25/$B50,0)</f>
        <v>11191.135394341885</v>
      </c>
      <c r="G50" s="70">
        <f t="shared" si="35"/>
        <v>68.718692888488761</v>
      </c>
      <c r="H50" s="70">
        <f t="shared" si="36"/>
        <v>9.4574437072069112E-2</v>
      </c>
      <c r="I50" s="71">
        <f t="shared" ref="I50:R50" si="38">IFERROR(I25/$B50,0)</f>
        <v>1902.8601468588881</v>
      </c>
      <c r="J50" s="71">
        <f t="shared" si="38"/>
        <v>9191.7820653353101</v>
      </c>
      <c r="K50" s="71">
        <f t="shared" si="38"/>
        <v>3223.2697881413565</v>
      </c>
      <c r="L50" s="71">
        <f t="shared" si="38"/>
        <v>2085.827468672243</v>
      </c>
      <c r="M50" s="71">
        <f t="shared" si="38"/>
        <v>9318.1810111089799</v>
      </c>
      <c r="N50" s="71">
        <f t="shared" si="38"/>
        <v>2285.3350363775248</v>
      </c>
      <c r="O50" s="71">
        <f t="shared" si="38"/>
        <v>11039.330260467705</v>
      </c>
      <c r="P50" s="71">
        <f t="shared" si="38"/>
        <v>3871.1470155577686</v>
      </c>
      <c r="Q50" s="71">
        <f t="shared" si="38"/>
        <v>2505.0787898753638</v>
      </c>
      <c r="R50" s="71">
        <f t="shared" si="38"/>
        <v>11191.135394341885</v>
      </c>
    </row>
    <row r="51" spans="1:18">
      <c r="A51" s="65" t="s">
        <v>407</v>
      </c>
      <c r="B51" s="89">
        <v>1</v>
      </c>
      <c r="C51" s="71">
        <f>IFERROR(C21/$B51,0)</f>
        <v>0</v>
      </c>
      <c r="D51" s="71">
        <f>IFERROR(D21/$B51,0)</f>
        <v>8.1294986593452898E-2</v>
      </c>
      <c r="E51" s="71">
        <f>IFERROR(E21/$B51,0)</f>
        <v>59.43417064789714</v>
      </c>
      <c r="F51" s="71">
        <f>IFERROR(F21/$B51,0)</f>
        <v>695589367.86886883</v>
      </c>
      <c r="G51" s="70">
        <f t="shared" si="35"/>
        <v>59.434165569584415</v>
      </c>
      <c r="H51" s="70">
        <f t="shared" si="36"/>
        <v>8.1294986583951775E-2</v>
      </c>
      <c r="I51" s="71">
        <f t="shared" ref="I51:R51" si="39">IFERROR(I21/$B51,0)</f>
        <v>448075623.10519415</v>
      </c>
      <c r="J51" s="71">
        <f t="shared" si="39"/>
        <v>954092059.54295647</v>
      </c>
      <c r="K51" s="71">
        <f t="shared" si="39"/>
        <v>510021561.78333151</v>
      </c>
      <c r="L51" s="71">
        <f t="shared" si="39"/>
        <v>448075623.10519415</v>
      </c>
      <c r="M51" s="71">
        <f t="shared" si="39"/>
        <v>531886517.48681575</v>
      </c>
      <c r="N51" s="71">
        <f t="shared" si="39"/>
        <v>585983342.66090393</v>
      </c>
      <c r="O51" s="71">
        <f t="shared" si="39"/>
        <v>1247740393.4245107</v>
      </c>
      <c r="P51" s="71">
        <f t="shared" si="39"/>
        <v>666994864.6877569</v>
      </c>
      <c r="Q51" s="71">
        <f t="shared" si="39"/>
        <v>585983342.66090393</v>
      </c>
      <c r="R51" s="71">
        <f t="shared" si="39"/>
        <v>695589367.86886883</v>
      </c>
    </row>
    <row r="52" spans="1:18">
      <c r="A52" s="65" t="s">
        <v>408</v>
      </c>
      <c r="B52" s="89">
        <v>0.99980000000000002</v>
      </c>
      <c r="C52" s="71">
        <f>IFERROR(C17/$B52,0)</f>
        <v>44.099305883831342</v>
      </c>
      <c r="D52" s="71">
        <f>IFERROR(D17/$B52,0)</f>
        <v>1.3295959574792876E-2</v>
      </c>
      <c r="E52" s="71">
        <f>IFERROR(E17/$B52,0)</f>
        <v>9.720578886957135</v>
      </c>
      <c r="F52" s="71">
        <f>IFERROR(F17/$B52,0)</f>
        <v>17.135535612040847</v>
      </c>
      <c r="G52" s="70">
        <f t="shared" si="35"/>
        <v>5.4374752521366707</v>
      </c>
      <c r="H52" s="70">
        <f t="shared" si="36"/>
        <v>1.3281649534303084E-2</v>
      </c>
      <c r="I52" s="71">
        <f t="shared" ref="I52:R52" si="40">IFERROR(I17/$B52,0)</f>
        <v>3.1025011216648535</v>
      </c>
      <c r="J52" s="71">
        <f t="shared" si="40"/>
        <v>13.919888365869641</v>
      </c>
      <c r="K52" s="71">
        <f t="shared" si="40"/>
        <v>4.9361306261949078</v>
      </c>
      <c r="L52" s="71">
        <f t="shared" si="40"/>
        <v>3.3195282271549225</v>
      </c>
      <c r="M52" s="71">
        <f t="shared" si="40"/>
        <v>13.730397125032729</v>
      </c>
      <c r="N52" s="71">
        <f t="shared" si="40"/>
        <v>3.8719213998377366</v>
      </c>
      <c r="O52" s="71">
        <f t="shared" si="40"/>
        <v>17.37202068060531</v>
      </c>
      <c r="P52" s="71">
        <f t="shared" si="40"/>
        <v>6.1602910214912452</v>
      </c>
      <c r="Q52" s="71">
        <f t="shared" si="40"/>
        <v>4.1427712274893427</v>
      </c>
      <c r="R52" s="71">
        <f t="shared" si="40"/>
        <v>17.135535612040847</v>
      </c>
    </row>
    <row r="53" spans="1:18">
      <c r="A53" s="65" t="s">
        <v>409</v>
      </c>
      <c r="B53" s="89">
        <v>2.0000000000000001E-4</v>
      </c>
      <c r="C53" s="71">
        <f>IFERROR(C5/$B53,0)</f>
        <v>0</v>
      </c>
      <c r="D53" s="71">
        <f>IFERROR(D5/$B53,0)</f>
        <v>0</v>
      </c>
      <c r="E53" s="71">
        <f>IFERROR(E5/$B53,0)</f>
        <v>0</v>
      </c>
      <c r="F53" s="71">
        <f>IFERROR(F5/$B53,0)</f>
        <v>185026771.85311916</v>
      </c>
      <c r="G53" s="70">
        <f t="shared" si="35"/>
        <v>185026771.85311916</v>
      </c>
      <c r="H53" s="70">
        <f t="shared" si="36"/>
        <v>185026771.85311916</v>
      </c>
      <c r="I53" s="71">
        <f t="shared" ref="I53:R53" si="41">IFERROR(I5/$B53,0)</f>
        <v>292393205.70474041</v>
      </c>
      <c r="J53" s="71">
        <f t="shared" si="41"/>
        <v>515580918.93498611</v>
      </c>
      <c r="K53" s="71">
        <f t="shared" si="41"/>
        <v>367650528.69203657</v>
      </c>
      <c r="L53" s="71">
        <f t="shared" si="41"/>
        <v>304661452.09794635</v>
      </c>
      <c r="M53" s="71">
        <f t="shared" si="41"/>
        <v>111387354.29284765</v>
      </c>
      <c r="N53" s="71">
        <f t="shared" si="41"/>
        <v>485697602.80954111</v>
      </c>
      <c r="O53" s="71">
        <f t="shared" si="41"/>
        <v>856437193.11978233</v>
      </c>
      <c r="P53" s="71">
        <f t="shared" si="41"/>
        <v>610708378.21621621</v>
      </c>
      <c r="Q53" s="71">
        <f t="shared" si="41"/>
        <v>506076523.20714426</v>
      </c>
      <c r="R53" s="71">
        <f t="shared" si="41"/>
        <v>185026771.85311916</v>
      </c>
    </row>
    <row r="54" spans="1:18">
      <c r="A54" s="65" t="s">
        <v>410</v>
      </c>
      <c r="B54" s="89">
        <v>0.99999979999999999</v>
      </c>
      <c r="C54" s="71">
        <f>IFERROR(C9/$B54,0)</f>
        <v>54.719453418435201</v>
      </c>
      <c r="D54" s="71">
        <f>IFERROR(D9/$B54,0)</f>
        <v>1.6925353052887851E-2</v>
      </c>
      <c r="E54" s="71">
        <f>IFERROR(E9/$B54,0)</f>
        <v>12.374001937559299</v>
      </c>
      <c r="F54" s="71">
        <f>IFERROR(F9/$B54,0)</f>
        <v>2.9317628164195928</v>
      </c>
      <c r="G54" s="70">
        <f t="shared" si="35"/>
        <v>2.271790945951381</v>
      </c>
      <c r="H54" s="70">
        <f t="shared" si="36"/>
        <v>1.6823028511158085E-2</v>
      </c>
      <c r="I54" s="71">
        <f t="shared" ref="I54:R54" si="42">IFERROR(I9/$B54,0)</f>
        <v>0.46127930709848181</v>
      </c>
      <c r="J54" s="71">
        <f t="shared" si="42"/>
        <v>2.5867612519628178</v>
      </c>
      <c r="K54" s="71">
        <f t="shared" si="42"/>
        <v>0.89510151258395865</v>
      </c>
      <c r="L54" s="71">
        <f t="shared" si="42"/>
        <v>0.55285681659597463</v>
      </c>
      <c r="M54" s="71">
        <f t="shared" si="42"/>
        <v>2.5383227847788676</v>
      </c>
      <c r="N54" s="71">
        <f t="shared" si="42"/>
        <v>0.53277759969874661</v>
      </c>
      <c r="O54" s="71">
        <f t="shared" si="42"/>
        <v>2.987709246017054</v>
      </c>
      <c r="P54" s="71">
        <f t="shared" si="42"/>
        <v>1.0338422470344726</v>
      </c>
      <c r="Q54" s="71">
        <f t="shared" si="42"/>
        <v>0.63854962316835073</v>
      </c>
      <c r="R54" s="71">
        <f t="shared" si="42"/>
        <v>2.9317628164195928</v>
      </c>
    </row>
    <row r="55" spans="1:18">
      <c r="A55" s="65" t="s">
        <v>411</v>
      </c>
      <c r="B55" s="89">
        <v>1.9999999999999999E-7</v>
      </c>
      <c r="C55" s="71">
        <f>IFERROR(C24/$B55,0)</f>
        <v>0</v>
      </c>
      <c r="D55" s="71">
        <f>IFERROR(D24/$B55,0)</f>
        <v>0</v>
      </c>
      <c r="E55" s="71">
        <f>IFERROR(E24/$B55,0)</f>
        <v>0</v>
      </c>
      <c r="F55" s="71">
        <f>IFERROR(F24/$B55,0)</f>
        <v>28750706952.314793</v>
      </c>
      <c r="G55" s="70">
        <f t="shared" si="35"/>
        <v>28750706952.314789</v>
      </c>
      <c r="H55" s="70">
        <f t="shared" si="36"/>
        <v>28750706952.314789</v>
      </c>
      <c r="I55" s="71">
        <f t="shared" ref="I55:R55" si="43">IFERROR(I24/$B55,0)</f>
        <v>4789050788.7207136</v>
      </c>
      <c r="J55" s="71">
        <f t="shared" si="43"/>
        <v>23788749015.867603</v>
      </c>
      <c r="K55" s="71">
        <f t="shared" si="43"/>
        <v>8335141830.7505579</v>
      </c>
      <c r="L55" s="71">
        <f t="shared" si="43"/>
        <v>5352468528.5702105</v>
      </c>
      <c r="M55" s="71">
        <f t="shared" si="43"/>
        <v>24099502893.80954</v>
      </c>
      <c r="N55" s="71">
        <f t="shared" si="43"/>
        <v>5713337590.9438124</v>
      </c>
      <c r="O55" s="71">
        <f t="shared" si="43"/>
        <v>28379977575.930054</v>
      </c>
      <c r="P55" s="71">
        <f t="shared" si="43"/>
        <v>9943824204.085413</v>
      </c>
      <c r="Q55" s="71">
        <f t="shared" si="43"/>
        <v>6385494954.58426</v>
      </c>
      <c r="R55" s="71">
        <f t="shared" si="43"/>
        <v>28750706952.314793</v>
      </c>
    </row>
    <row r="56" spans="1:18">
      <c r="A56" s="65" t="s">
        <v>412</v>
      </c>
      <c r="B56" s="89">
        <v>0.99979000004200003</v>
      </c>
      <c r="C56" s="71">
        <f>IFERROR(C20/$B56,0)</f>
        <v>0</v>
      </c>
      <c r="D56" s="71">
        <f>IFERROR(D20/$B56,0)</f>
        <v>0</v>
      </c>
      <c r="E56" s="71">
        <f>IFERROR(E20/$B56,0)</f>
        <v>0</v>
      </c>
      <c r="F56" s="71">
        <f>IFERROR(F20/$B56,0)</f>
        <v>52909.489220440155</v>
      </c>
      <c r="G56" s="70">
        <f t="shared" si="35"/>
        <v>52909.489220440155</v>
      </c>
      <c r="H56" s="70">
        <f t="shared" si="36"/>
        <v>52909.489220440155</v>
      </c>
      <c r="I56" s="71">
        <f t="shared" ref="I56:R56" si="44">IFERROR(I20/$B56,0)</f>
        <v>8600.0111071035099</v>
      </c>
      <c r="J56" s="71">
        <f t="shared" si="44"/>
        <v>44204.057090512048</v>
      </c>
      <c r="K56" s="71">
        <f t="shared" si="44"/>
        <v>15455.964017661558</v>
      </c>
      <c r="L56" s="71">
        <f t="shared" si="44"/>
        <v>9779.658648343373</v>
      </c>
      <c r="M56" s="71">
        <f t="shared" si="44"/>
        <v>44876.581187820317</v>
      </c>
      <c r="N56" s="71">
        <f t="shared" si="44"/>
        <v>10139.413095275042</v>
      </c>
      <c r="O56" s="71">
        <f t="shared" si="44"/>
        <v>52116.583309713707</v>
      </c>
      <c r="P56" s="71">
        <f t="shared" si="44"/>
        <v>18222.581576822977</v>
      </c>
      <c r="Q56" s="71">
        <f t="shared" si="44"/>
        <v>11530.217546396838</v>
      </c>
      <c r="R56" s="71">
        <f t="shared" si="44"/>
        <v>52909.489220440155</v>
      </c>
    </row>
    <row r="57" spans="1:18">
      <c r="A57" s="65" t="s">
        <v>413</v>
      </c>
      <c r="B57" s="89">
        <v>2.0999995799999999E-4</v>
      </c>
      <c r="C57" s="71">
        <f>IFERROR(C29/$B57,0)</f>
        <v>0</v>
      </c>
      <c r="D57" s="71">
        <f>IFERROR(D29/$B57,0)</f>
        <v>0</v>
      </c>
      <c r="E57" s="71">
        <f>IFERROR(E29/$B57,0)</f>
        <v>0</v>
      </c>
      <c r="F57" s="71">
        <f>IFERROR(F29/$B57,0)</f>
        <v>7509.2049049708185</v>
      </c>
      <c r="G57" s="70">
        <f t="shared" si="35"/>
        <v>7509.2049049708176</v>
      </c>
      <c r="H57" s="70">
        <f t="shared" si="36"/>
        <v>7509.2049049708176</v>
      </c>
      <c r="I57" s="71">
        <f t="shared" ref="I57:R57" si="45">IFERROR(I29/$B57,0)</f>
        <v>0</v>
      </c>
      <c r="J57" s="71">
        <f t="shared" si="45"/>
        <v>0</v>
      </c>
      <c r="K57" s="71">
        <f t="shared" si="45"/>
        <v>0</v>
      </c>
      <c r="L57" s="71">
        <f t="shared" si="45"/>
        <v>0</v>
      </c>
      <c r="M57" s="71">
        <f t="shared" si="45"/>
        <v>0</v>
      </c>
      <c r="N57" s="71">
        <f t="shared" si="45"/>
        <v>1381.5263880193399</v>
      </c>
      <c r="O57" s="71">
        <f t="shared" si="45"/>
        <v>7564.6993685449224</v>
      </c>
      <c r="P57" s="71">
        <f t="shared" si="45"/>
        <v>2633.992986075089</v>
      </c>
      <c r="Q57" s="71">
        <f t="shared" si="45"/>
        <v>1638.851646553986</v>
      </c>
      <c r="R57" s="71">
        <f t="shared" si="45"/>
        <v>7509.2049049708185</v>
      </c>
    </row>
    <row r="58" spans="1:18">
      <c r="A58" s="65" t="s">
        <v>414</v>
      </c>
      <c r="B58" s="89">
        <v>1</v>
      </c>
      <c r="C58" s="71">
        <f>IFERROR(C16/$B58,0)</f>
        <v>8.8054275246393452E-3</v>
      </c>
      <c r="D58" s="71">
        <f>IFERROR(D16/$B58,0)</f>
        <v>2.7765129211694278E-5</v>
      </c>
      <c r="E58" s="71">
        <f>IFERROR(E16/$B58,0)</f>
        <v>2.0298883077270229E-2</v>
      </c>
      <c r="F58" s="71">
        <f>IFERROR(F16/$B58,0)</f>
        <v>1918.4803533157517</v>
      </c>
      <c r="G58" s="70">
        <f t="shared" si="35"/>
        <v>6.1413504699538218E-3</v>
      </c>
      <c r="H58" s="70">
        <f t="shared" si="36"/>
        <v>2.7677855452645613E-5</v>
      </c>
      <c r="I58" s="71">
        <f t="shared" ref="I58:R58" si="46">IFERROR(I16/$B58,0)</f>
        <v>1551.7975921271195</v>
      </c>
      <c r="J58" s="71">
        <f t="shared" si="46"/>
        <v>2441.0299201999628</v>
      </c>
      <c r="K58" s="71">
        <f t="shared" si="46"/>
        <v>1580.0120938021582</v>
      </c>
      <c r="L58" s="71">
        <f t="shared" si="46"/>
        <v>1551.7975921271195</v>
      </c>
      <c r="M58" s="71">
        <f t="shared" si="46"/>
        <v>1279.8401289631431</v>
      </c>
      <c r="N58" s="71">
        <f t="shared" si="46"/>
        <v>2326.144590598552</v>
      </c>
      <c r="O58" s="71">
        <f t="shared" si="46"/>
        <v>3659.1038503797449</v>
      </c>
      <c r="P58" s="71">
        <f t="shared" si="46"/>
        <v>2368.4381286094354</v>
      </c>
      <c r="Q58" s="71">
        <f t="shared" si="46"/>
        <v>2326.144590598552</v>
      </c>
      <c r="R58" s="71">
        <f t="shared" si="46"/>
        <v>1918.4803533157517</v>
      </c>
    </row>
    <row r="59" spans="1:18">
      <c r="A59" s="65" t="s">
        <v>415</v>
      </c>
      <c r="B59" s="89">
        <v>1</v>
      </c>
      <c r="C59" s="71">
        <f>IFERROR(C7/$B59,0)</f>
        <v>4.6783034787396831</v>
      </c>
      <c r="D59" s="71">
        <f>IFERROR(D7/$B59,0)</f>
        <v>1.1467378708665513E-3</v>
      </c>
      <c r="E59" s="71">
        <f>IFERROR(E7/$B59,0)</f>
        <v>0.83837167778040733</v>
      </c>
      <c r="F59" s="71">
        <f>IFERROR(F7/$B59,0)</f>
        <v>118.60690503405074</v>
      </c>
      <c r="G59" s="70">
        <f t="shared" si="35"/>
        <v>0.70672761687622843</v>
      </c>
      <c r="H59" s="70">
        <f t="shared" si="36"/>
        <v>1.1464457717241187E-3</v>
      </c>
      <c r="I59" s="71">
        <f t="shared" ref="I59:R59" si="47">IFERROR(I7/$B59,0)</f>
        <v>709.07075283199663</v>
      </c>
      <c r="J59" s="71">
        <f t="shared" si="47"/>
        <v>1236.6531582129462</v>
      </c>
      <c r="K59" s="71">
        <f t="shared" si="47"/>
        <v>854.97008469043215</v>
      </c>
      <c r="L59" s="71">
        <f t="shared" si="47"/>
        <v>723.89453163684664</v>
      </c>
      <c r="M59" s="71">
        <f t="shared" si="47"/>
        <v>94.582858878828318</v>
      </c>
      <c r="N59" s="71">
        <f t="shared" si="47"/>
        <v>889.17472405132378</v>
      </c>
      <c r="O59" s="71">
        <f t="shared" si="47"/>
        <v>1550.7630603990349</v>
      </c>
      <c r="P59" s="71">
        <f t="shared" si="47"/>
        <v>1072.1324862018018</v>
      </c>
      <c r="Q59" s="71">
        <f t="shared" si="47"/>
        <v>907.76374267260553</v>
      </c>
      <c r="R59" s="71">
        <f t="shared" si="47"/>
        <v>118.60690503405074</v>
      </c>
    </row>
    <row r="60" spans="1:18">
      <c r="A60" s="65" t="s">
        <v>416</v>
      </c>
      <c r="B60" s="91">
        <v>1.9000000000000001E-8</v>
      </c>
      <c r="C60" s="71">
        <f>IFERROR(C12/$B60,0)</f>
        <v>0</v>
      </c>
      <c r="D60" s="71">
        <f>IFERROR(D12/$B60,0)</f>
        <v>0</v>
      </c>
      <c r="E60" s="71">
        <f>IFERROR(E12/$B60,0)</f>
        <v>0</v>
      </c>
      <c r="F60" s="71">
        <f>IFERROR(F12/$B60,0)</f>
        <v>1470541281.0650585</v>
      </c>
      <c r="G60" s="70">
        <f t="shared" si="35"/>
        <v>1470541281.0650585</v>
      </c>
      <c r="H60" s="70">
        <f t="shared" si="36"/>
        <v>1470541281.0650585</v>
      </c>
      <c r="I60" s="71">
        <f t="shared" ref="I60:R60" si="48">IFERROR(I12/$B60,0)</f>
        <v>0</v>
      </c>
      <c r="J60" s="71">
        <f t="shared" si="48"/>
        <v>0</v>
      </c>
      <c r="K60" s="71">
        <f t="shared" si="48"/>
        <v>0</v>
      </c>
      <c r="L60" s="71">
        <f t="shared" si="48"/>
        <v>0</v>
      </c>
      <c r="M60" s="71">
        <f t="shared" si="48"/>
        <v>0</v>
      </c>
      <c r="N60" s="71">
        <f t="shared" si="48"/>
        <v>418049092.02027881</v>
      </c>
      <c r="O60" s="71">
        <f t="shared" si="48"/>
        <v>1847979813.7823656</v>
      </c>
      <c r="P60" s="71">
        <f t="shared" si="48"/>
        <v>662415952.57319558</v>
      </c>
      <c r="Q60" s="71">
        <f t="shared" si="48"/>
        <v>446645283.98257816</v>
      </c>
      <c r="R60" s="71">
        <f t="shared" si="48"/>
        <v>1470541281.0650585</v>
      </c>
    </row>
    <row r="61" spans="1:18">
      <c r="A61" s="65" t="s">
        <v>417</v>
      </c>
      <c r="B61" s="89">
        <v>1</v>
      </c>
      <c r="C61" s="71">
        <f>IFERROR(C18/$B61,0)</f>
        <v>5.0649401298751952E-3</v>
      </c>
      <c r="D61" s="71">
        <f>IFERROR(D18/$B61,0)</f>
        <v>3.5774301099683008E-5</v>
      </c>
      <c r="E61" s="71">
        <f>IFERROR(E18/$B61,0)</f>
        <v>2.6154330118790488E-2</v>
      </c>
      <c r="F61" s="71">
        <f>IFERROR(F18/$B61,0)</f>
        <v>451529.54085631034</v>
      </c>
      <c r="G61" s="70">
        <f t="shared" si="35"/>
        <v>4.2432162535717462E-3</v>
      </c>
      <c r="H61" s="70">
        <f t="shared" si="36"/>
        <v>3.5523394947075402E-5</v>
      </c>
      <c r="I61" s="71">
        <f t="shared" ref="I61:R61" si="49">IFERROR(I18/$B61,0)</f>
        <v>73170.156027118574</v>
      </c>
      <c r="J61" s="71">
        <f t="shared" si="49"/>
        <v>377088.51740938245</v>
      </c>
      <c r="K61" s="71">
        <f t="shared" si="49"/>
        <v>131532.06619160599</v>
      </c>
      <c r="L61" s="71">
        <f t="shared" si="49"/>
        <v>83702.223940112919</v>
      </c>
      <c r="M61" s="71">
        <f t="shared" si="49"/>
        <v>382976.70980178984</v>
      </c>
      <c r="N61" s="71">
        <f t="shared" si="49"/>
        <v>86267.613955972789</v>
      </c>
      <c r="O61" s="71">
        <f t="shared" si="49"/>
        <v>444587.36202566186</v>
      </c>
      <c r="P61" s="71">
        <f t="shared" si="49"/>
        <v>155076.30603990349</v>
      </c>
      <c r="Q61" s="71">
        <f t="shared" si="49"/>
        <v>98684.922025393127</v>
      </c>
      <c r="R61" s="71">
        <f t="shared" si="49"/>
        <v>451529.54085631034</v>
      </c>
    </row>
    <row r="62" spans="1:18">
      <c r="A62" s="65" t="s">
        <v>418</v>
      </c>
      <c r="B62" s="89">
        <v>1.339E-6</v>
      </c>
      <c r="C62" s="71">
        <f>IFERROR(C27/$B62,0)</f>
        <v>0</v>
      </c>
      <c r="D62" s="71">
        <f>IFERROR(D27/$B62,0)</f>
        <v>0</v>
      </c>
      <c r="E62" s="71">
        <f>IFERROR(E27/$B62,0)</f>
        <v>0</v>
      </c>
      <c r="F62" s="71">
        <f>IFERROR(F27/$B62,0)</f>
        <v>50802500.728462622</v>
      </c>
      <c r="G62" s="70">
        <f t="shared" si="35"/>
        <v>50802500.728462614</v>
      </c>
      <c r="H62" s="70">
        <f t="shared" si="36"/>
        <v>50802500.728462614</v>
      </c>
      <c r="I62" s="71">
        <f t="shared" ref="I62:R62" si="50">IFERROR(I27/$B62,0)</f>
        <v>213077103.61837891</v>
      </c>
      <c r="J62" s="71">
        <f t="shared" si="50"/>
        <v>358977189.34721971</v>
      </c>
      <c r="K62" s="71">
        <f t="shared" si="50"/>
        <v>257499538.64835894</v>
      </c>
      <c r="L62" s="71">
        <f t="shared" si="50"/>
        <v>218507854.3852641</v>
      </c>
      <c r="M62" s="71">
        <f t="shared" si="50"/>
        <v>38054307.661769755</v>
      </c>
      <c r="N62" s="71">
        <f t="shared" si="50"/>
        <v>284457933.33053589</v>
      </c>
      <c r="O62" s="71">
        <f t="shared" si="50"/>
        <v>479234547.77853823</v>
      </c>
      <c r="P62" s="71">
        <f t="shared" si="50"/>
        <v>343761884.09555918</v>
      </c>
      <c r="Q62" s="71">
        <f t="shared" si="50"/>
        <v>291707985.60432762</v>
      </c>
      <c r="R62" s="71">
        <f t="shared" si="50"/>
        <v>50802500.728462622</v>
      </c>
    </row>
    <row r="63" spans="1:18">
      <c r="A63" s="63" t="s">
        <v>30</v>
      </c>
      <c r="B63" s="82" t="s">
        <v>6</v>
      </c>
      <c r="C63" s="67">
        <f>IFERROR(1/SUM(1/C66,1/C68,1/C72,1/C73,1/C75),0)</f>
        <v>3.2127820009615897E-3</v>
      </c>
      <c r="D63" s="67">
        <f>IFERROR(1/SUM(1/D64,1/D65,1/D66,1/D68,1/D72,1/D73,1/D75),0)</f>
        <v>1.538493870274431E-5</v>
      </c>
      <c r="E63" s="67">
        <f t="shared" ref="E63" si="51">IFERROR(1/SUM(1/E64,1/E65,1/E66,1/E68,1/E72,1/E73,1/E75),0)</f>
        <v>1.1247816262509638E-2</v>
      </c>
      <c r="F63" s="67">
        <f>IFERROR(1/SUM(1/F64,1/F65,1/F66,1/F67,1/F68,1/F69,1/F70,1/F71,1/F72,1/F73,1/F74,1/F75,1/F76),0)</f>
        <v>2.4471052282321999</v>
      </c>
      <c r="G63" s="68">
        <f t="shared" ref="G63:R63" si="52">IFERROR(1/SUM(1/G64,1/G65,1/G66,1/G67,1/G68,1/G69,1/G70,1/G71,1/G72,1/G73,1/G74,1/G75,1/G76),0)</f>
        <v>2.4964331189029328E-3</v>
      </c>
      <c r="H63" s="68">
        <f t="shared" si="52"/>
        <v>1.531152068663279E-5</v>
      </c>
      <c r="I63" s="67">
        <f>IFERROR(1/SUM(1/I64,1/I65,1/I66,1/I67,1/I68,1/I69,1/I70,1/I72,1/I73,1/I75,1/I76),0)</f>
        <v>0.40113686676875204</v>
      </c>
      <c r="J63" s="67">
        <f t="shared" ref="J63:M63" si="53">IFERROR(1/SUM(1/J64,1/J65,1/J66,1/J67,1/J68,1/J69,1/J70,1/J72,1/J73,1/J75,1/J76),0)</f>
        <v>2.1749729695252014</v>
      </c>
      <c r="K63" s="67">
        <f t="shared" si="53"/>
        <v>0.75644988119860546</v>
      </c>
      <c r="L63" s="67">
        <f t="shared" si="53"/>
        <v>0.47333834423355242</v>
      </c>
      <c r="M63" s="67">
        <f t="shared" si="53"/>
        <v>2.090832583477892</v>
      </c>
      <c r="N63" s="67">
        <f t="shared" si="52"/>
        <v>0.46771554507803009</v>
      </c>
      <c r="O63" s="67">
        <f t="shared" si="52"/>
        <v>2.5417432229984138</v>
      </c>
      <c r="P63" s="67">
        <f t="shared" si="52"/>
        <v>0.88366560112231218</v>
      </c>
      <c r="Q63" s="67">
        <f t="shared" si="52"/>
        <v>0.55246449644558071</v>
      </c>
      <c r="R63" s="67">
        <f t="shared" si="52"/>
        <v>2.4471052282321999</v>
      </c>
    </row>
    <row r="64" spans="1:18">
      <c r="A64" s="65" t="s">
        <v>406</v>
      </c>
      <c r="B64" s="89">
        <v>1</v>
      </c>
      <c r="C64" s="72">
        <f>IFERROR(C25/$B64,0)</f>
        <v>0</v>
      </c>
      <c r="D64" s="72">
        <f>IFERROR(D25/$B64,0)</f>
        <v>9.457523631177267E-2</v>
      </c>
      <c r="E64" s="72">
        <f>IFERROR(E25/$B64,0)</f>
        <v>69.143264173584143</v>
      </c>
      <c r="F64" s="72">
        <f>IFERROR(F25/$B64,0)</f>
        <v>11191.135394341885</v>
      </c>
      <c r="G64" s="70">
        <f t="shared" ref="G64:G76" si="54">(IF(AND(C64&lt;&gt;0,E64&lt;&gt;0,F64&lt;&gt;0),1/((1/C64)+(1/E64)+(1/F64)),IF(AND(C64&lt;&gt;0,E64&lt;&gt;0,F64=0), 1/((1/C64)+(1/E64)),IF(AND(C64&lt;&gt;0,E64=0,F64&lt;&gt;0),1/((1/C64)+(1/F64)),IF(AND(C64=0,E64&lt;&gt;0,F64&lt;&gt;0),1/((1/E64)+(1/F64)),IF(AND(C64&lt;&gt;0,E64=0,F64=0),1/(1/C64),IF(AND(C64=0,E64&lt;&gt;0,F64=0),1/(1/E64),IF(AND(C64=0,E64=0,F64&lt;&gt;0),1/(1/F64),IF(AND(C64=0,E64=0,F64=0),0)))))))))</f>
        <v>68.718692888488761</v>
      </c>
      <c r="H64" s="70">
        <f t="shared" ref="H64:H76" si="55">(IF(AND(C64&lt;&gt;0,D64&lt;&gt;0,F64&lt;&gt;0),1/((1/C64)+(1/D64)+(1/F64)),IF(AND(C64&lt;&gt;0,D64&lt;&gt;0,F64=0), 1/((1/C64)+(1/D64)),IF(AND(C64&lt;&gt;0,D64=0,F64&lt;&gt;0),1/((1/C64)+(1/F64)),IF(AND(C64=0,D64&lt;&gt;0,F64&lt;&gt;0),1/((1/D64)+(1/F64)),IF(AND(C64&lt;&gt;0,D64=0,F64=0),1/(1/C64),IF(AND(C64=0,D64&lt;&gt;0,F64=0),1/(1/D64),IF(AND(C64=0,D64=0,F64&lt;&gt;0),1/(1/F64),IF(AND(C64=0,D64=0,F64=0),0)))))))))</f>
        <v>9.4574437072069112E-2</v>
      </c>
      <c r="I64" s="72">
        <f t="shared" ref="I64:R64" si="56">IFERROR(I25/$B64,0)</f>
        <v>1902.8601468588881</v>
      </c>
      <c r="J64" s="72">
        <f t="shared" si="56"/>
        <v>9191.7820653353101</v>
      </c>
      <c r="K64" s="72">
        <f t="shared" si="56"/>
        <v>3223.2697881413565</v>
      </c>
      <c r="L64" s="72">
        <f t="shared" si="56"/>
        <v>2085.827468672243</v>
      </c>
      <c r="M64" s="72">
        <f t="shared" si="56"/>
        <v>9318.1810111089799</v>
      </c>
      <c r="N64" s="72">
        <f t="shared" si="56"/>
        <v>2285.3350363775248</v>
      </c>
      <c r="O64" s="72">
        <f t="shared" si="56"/>
        <v>11039.330260467705</v>
      </c>
      <c r="P64" s="72">
        <f t="shared" si="56"/>
        <v>3871.1470155577686</v>
      </c>
      <c r="Q64" s="72">
        <f t="shared" si="56"/>
        <v>2505.0787898753638</v>
      </c>
      <c r="R64" s="72">
        <f t="shared" si="56"/>
        <v>11191.135394341885</v>
      </c>
    </row>
    <row r="65" spans="1:18">
      <c r="A65" s="65" t="s">
        <v>407</v>
      </c>
      <c r="B65" s="89">
        <v>1</v>
      </c>
      <c r="C65" s="72">
        <f>IFERROR(C21/$B65,0)</f>
        <v>0</v>
      </c>
      <c r="D65" s="72">
        <f>IFERROR(D21/$B65,0)</f>
        <v>8.1294986593452898E-2</v>
      </c>
      <c r="E65" s="72">
        <f>IFERROR(E21/$B65,0)</f>
        <v>59.43417064789714</v>
      </c>
      <c r="F65" s="72">
        <f>IFERROR(F21/$B65,0)</f>
        <v>695589367.86886883</v>
      </c>
      <c r="G65" s="70">
        <f t="shared" si="54"/>
        <v>59.434165569584415</v>
      </c>
      <c r="H65" s="70">
        <f t="shared" si="55"/>
        <v>8.1294986583951775E-2</v>
      </c>
      <c r="I65" s="72">
        <f t="shared" ref="I65:R65" si="57">IFERROR(I21/$B65,0)</f>
        <v>448075623.10519415</v>
      </c>
      <c r="J65" s="72">
        <f t="shared" si="57"/>
        <v>954092059.54295647</v>
      </c>
      <c r="K65" s="72">
        <f t="shared" si="57"/>
        <v>510021561.78333151</v>
      </c>
      <c r="L65" s="72">
        <f t="shared" si="57"/>
        <v>448075623.10519415</v>
      </c>
      <c r="M65" s="72">
        <f t="shared" si="57"/>
        <v>531886517.48681575</v>
      </c>
      <c r="N65" s="72">
        <f t="shared" si="57"/>
        <v>585983342.66090393</v>
      </c>
      <c r="O65" s="72">
        <f t="shared" si="57"/>
        <v>1247740393.4245107</v>
      </c>
      <c r="P65" s="72">
        <f t="shared" si="57"/>
        <v>666994864.6877569</v>
      </c>
      <c r="Q65" s="72">
        <f t="shared" si="57"/>
        <v>585983342.66090393</v>
      </c>
      <c r="R65" s="72">
        <f t="shared" si="57"/>
        <v>695589367.86886883</v>
      </c>
    </row>
    <row r="66" spans="1:18">
      <c r="A66" s="65" t="s">
        <v>408</v>
      </c>
      <c r="B66" s="89">
        <v>0.99980000000000002</v>
      </c>
      <c r="C66" s="72">
        <f>IFERROR(C17/$B66,0)</f>
        <v>44.099305883831342</v>
      </c>
      <c r="D66" s="72">
        <f>IFERROR(D17/$B66,0)</f>
        <v>1.3295959574792876E-2</v>
      </c>
      <c r="E66" s="72">
        <f>IFERROR(E17/$B66,0)</f>
        <v>9.720578886957135</v>
      </c>
      <c r="F66" s="72">
        <f>IFERROR(F17/$B66,0)</f>
        <v>17.135535612040847</v>
      </c>
      <c r="G66" s="70">
        <f t="shared" si="54"/>
        <v>5.4374752521366707</v>
      </c>
      <c r="H66" s="70">
        <f t="shared" si="55"/>
        <v>1.3281649534303084E-2</v>
      </c>
      <c r="I66" s="72">
        <f t="shared" ref="I66:R66" si="58">IFERROR(I17/$B66,0)</f>
        <v>3.1025011216648535</v>
      </c>
      <c r="J66" s="72">
        <f t="shared" si="58"/>
        <v>13.919888365869641</v>
      </c>
      <c r="K66" s="72">
        <f t="shared" si="58"/>
        <v>4.9361306261949078</v>
      </c>
      <c r="L66" s="72">
        <f t="shared" si="58"/>
        <v>3.3195282271549225</v>
      </c>
      <c r="M66" s="72">
        <f t="shared" si="58"/>
        <v>13.730397125032729</v>
      </c>
      <c r="N66" s="72">
        <f t="shared" si="58"/>
        <v>3.8719213998377366</v>
      </c>
      <c r="O66" s="72">
        <f t="shared" si="58"/>
        <v>17.37202068060531</v>
      </c>
      <c r="P66" s="72">
        <f t="shared" si="58"/>
        <v>6.1602910214912452</v>
      </c>
      <c r="Q66" s="72">
        <f t="shared" si="58"/>
        <v>4.1427712274893427</v>
      </c>
      <c r="R66" s="72">
        <f t="shared" si="58"/>
        <v>17.135535612040847</v>
      </c>
    </row>
    <row r="67" spans="1:18">
      <c r="A67" s="65" t="s">
        <v>409</v>
      </c>
      <c r="B67" s="89">
        <v>2.0000000000000001E-4</v>
      </c>
      <c r="C67" s="72">
        <f>IFERROR(C5/$B67,0)</f>
        <v>0</v>
      </c>
      <c r="D67" s="72">
        <f>IFERROR(D5/$B67,0)</f>
        <v>0</v>
      </c>
      <c r="E67" s="72">
        <f>IFERROR(E5/$B67,0)</f>
        <v>0</v>
      </c>
      <c r="F67" s="72">
        <f>IFERROR(F5/$B67,0)</f>
        <v>185026771.85311916</v>
      </c>
      <c r="G67" s="70">
        <f t="shared" si="54"/>
        <v>185026771.85311916</v>
      </c>
      <c r="H67" s="70">
        <f t="shared" si="55"/>
        <v>185026771.85311916</v>
      </c>
      <c r="I67" s="72">
        <f t="shared" ref="I67:R67" si="59">IFERROR(I5/$B67,0)</f>
        <v>292393205.70474041</v>
      </c>
      <c r="J67" s="72">
        <f t="shared" si="59"/>
        <v>515580918.93498611</v>
      </c>
      <c r="K67" s="72">
        <f t="shared" si="59"/>
        <v>367650528.69203657</v>
      </c>
      <c r="L67" s="72">
        <f t="shared" si="59"/>
        <v>304661452.09794635</v>
      </c>
      <c r="M67" s="72">
        <f t="shared" si="59"/>
        <v>111387354.29284765</v>
      </c>
      <c r="N67" s="72">
        <f t="shared" si="59"/>
        <v>485697602.80954111</v>
      </c>
      <c r="O67" s="72">
        <f t="shared" si="59"/>
        <v>856437193.11978233</v>
      </c>
      <c r="P67" s="72">
        <f t="shared" si="59"/>
        <v>610708378.21621621</v>
      </c>
      <c r="Q67" s="72">
        <f t="shared" si="59"/>
        <v>506076523.20714426</v>
      </c>
      <c r="R67" s="72">
        <f t="shared" si="59"/>
        <v>185026771.85311916</v>
      </c>
    </row>
    <row r="68" spans="1:18">
      <c r="A68" s="65" t="s">
        <v>410</v>
      </c>
      <c r="B68" s="89">
        <v>0.99999979999999999</v>
      </c>
      <c r="C68" s="72">
        <f>IFERROR(C9/$B68,0)</f>
        <v>54.719453418435201</v>
      </c>
      <c r="D68" s="72">
        <f>IFERROR(D9/$B68,0)</f>
        <v>1.6925353052887851E-2</v>
      </c>
      <c r="E68" s="72">
        <f>IFERROR(E9/$B68,0)</f>
        <v>12.374001937559299</v>
      </c>
      <c r="F68" s="72">
        <f>IFERROR(F9/$B68,0)</f>
        <v>2.9317628164195928</v>
      </c>
      <c r="G68" s="70">
        <f t="shared" si="54"/>
        <v>2.271790945951381</v>
      </c>
      <c r="H68" s="70">
        <f t="shared" si="55"/>
        <v>1.6823028511158085E-2</v>
      </c>
      <c r="I68" s="72">
        <f t="shared" ref="I68:R68" si="60">IFERROR(I9/$B68,0)</f>
        <v>0.46127930709848181</v>
      </c>
      <c r="J68" s="72">
        <f t="shared" si="60"/>
        <v>2.5867612519628178</v>
      </c>
      <c r="K68" s="72">
        <f t="shared" si="60"/>
        <v>0.89510151258395865</v>
      </c>
      <c r="L68" s="72">
        <f t="shared" si="60"/>
        <v>0.55285681659597463</v>
      </c>
      <c r="M68" s="72">
        <f t="shared" si="60"/>
        <v>2.5383227847788676</v>
      </c>
      <c r="N68" s="72">
        <f t="shared" si="60"/>
        <v>0.53277759969874661</v>
      </c>
      <c r="O68" s="72">
        <f t="shared" si="60"/>
        <v>2.987709246017054</v>
      </c>
      <c r="P68" s="72">
        <f t="shared" si="60"/>
        <v>1.0338422470344726</v>
      </c>
      <c r="Q68" s="72">
        <f t="shared" si="60"/>
        <v>0.63854962316835073</v>
      </c>
      <c r="R68" s="72">
        <f t="shared" si="60"/>
        <v>2.9317628164195928</v>
      </c>
    </row>
    <row r="69" spans="1:18">
      <c r="A69" s="65" t="s">
        <v>411</v>
      </c>
      <c r="B69" s="89">
        <v>1.9999999999999999E-7</v>
      </c>
      <c r="C69" s="72">
        <f>IFERROR(C24/$B69,0)</f>
        <v>0</v>
      </c>
      <c r="D69" s="72">
        <f>IFERROR(D24/$B69,0)</f>
        <v>0</v>
      </c>
      <c r="E69" s="72">
        <f>IFERROR(E24/$B69,0)</f>
        <v>0</v>
      </c>
      <c r="F69" s="72">
        <f>IFERROR(F24/$B69,0)</f>
        <v>28750706952.314793</v>
      </c>
      <c r="G69" s="70">
        <f t="shared" si="54"/>
        <v>28750706952.314789</v>
      </c>
      <c r="H69" s="70">
        <f t="shared" si="55"/>
        <v>28750706952.314789</v>
      </c>
      <c r="I69" s="72">
        <f t="shared" ref="I69:R69" si="61">IFERROR(I24/$B69,0)</f>
        <v>4789050788.7207136</v>
      </c>
      <c r="J69" s="72">
        <f t="shared" si="61"/>
        <v>23788749015.867603</v>
      </c>
      <c r="K69" s="72">
        <f t="shared" si="61"/>
        <v>8335141830.7505579</v>
      </c>
      <c r="L69" s="72">
        <f t="shared" si="61"/>
        <v>5352468528.5702105</v>
      </c>
      <c r="M69" s="72">
        <f t="shared" si="61"/>
        <v>24099502893.80954</v>
      </c>
      <c r="N69" s="72">
        <f t="shared" si="61"/>
        <v>5713337590.9438124</v>
      </c>
      <c r="O69" s="72">
        <f t="shared" si="61"/>
        <v>28379977575.930054</v>
      </c>
      <c r="P69" s="72">
        <f t="shared" si="61"/>
        <v>9943824204.085413</v>
      </c>
      <c r="Q69" s="72">
        <f t="shared" si="61"/>
        <v>6385494954.58426</v>
      </c>
      <c r="R69" s="72">
        <f t="shared" si="61"/>
        <v>28750706952.314793</v>
      </c>
    </row>
    <row r="70" spans="1:18">
      <c r="A70" s="65" t="s">
        <v>412</v>
      </c>
      <c r="B70" s="89">
        <v>0.99979000004200003</v>
      </c>
      <c r="C70" s="72">
        <f>IFERROR(C20/$B70,0)</f>
        <v>0</v>
      </c>
      <c r="D70" s="72">
        <f>IFERROR(D20/$B70,0)</f>
        <v>0</v>
      </c>
      <c r="E70" s="72">
        <f>IFERROR(E20/$B70,0)</f>
        <v>0</v>
      </c>
      <c r="F70" s="72">
        <f>IFERROR(F20/$B70,0)</f>
        <v>52909.489220440155</v>
      </c>
      <c r="G70" s="70">
        <f t="shared" si="54"/>
        <v>52909.489220440155</v>
      </c>
      <c r="H70" s="70">
        <f t="shared" si="55"/>
        <v>52909.489220440155</v>
      </c>
      <c r="I70" s="72">
        <f t="shared" ref="I70:R70" si="62">IFERROR(I20/$B70,0)</f>
        <v>8600.0111071035099</v>
      </c>
      <c r="J70" s="72">
        <f t="shared" si="62"/>
        <v>44204.057090512048</v>
      </c>
      <c r="K70" s="72">
        <f t="shared" si="62"/>
        <v>15455.964017661558</v>
      </c>
      <c r="L70" s="72">
        <f t="shared" si="62"/>
        <v>9779.658648343373</v>
      </c>
      <c r="M70" s="72">
        <f t="shared" si="62"/>
        <v>44876.581187820317</v>
      </c>
      <c r="N70" s="72">
        <f t="shared" si="62"/>
        <v>10139.413095275042</v>
      </c>
      <c r="O70" s="72">
        <f t="shared" si="62"/>
        <v>52116.583309713707</v>
      </c>
      <c r="P70" s="72">
        <f t="shared" si="62"/>
        <v>18222.581576822977</v>
      </c>
      <c r="Q70" s="72">
        <f t="shared" si="62"/>
        <v>11530.217546396838</v>
      </c>
      <c r="R70" s="72">
        <f t="shared" si="62"/>
        <v>52909.489220440155</v>
      </c>
    </row>
    <row r="71" spans="1:18">
      <c r="A71" s="65" t="s">
        <v>413</v>
      </c>
      <c r="B71" s="89">
        <v>2.0999995799999999E-4</v>
      </c>
      <c r="C71" s="72">
        <f>IFERROR(C29/$B71,0)</f>
        <v>0</v>
      </c>
      <c r="D71" s="72">
        <f>IFERROR(D29/$B71,0)</f>
        <v>0</v>
      </c>
      <c r="E71" s="72">
        <f>IFERROR(E29/$B71,0)</f>
        <v>0</v>
      </c>
      <c r="F71" s="72">
        <f>IFERROR(F29/$B71,0)</f>
        <v>7509.2049049708185</v>
      </c>
      <c r="G71" s="70">
        <f t="shared" si="54"/>
        <v>7509.2049049708176</v>
      </c>
      <c r="H71" s="70">
        <f t="shared" si="55"/>
        <v>7509.2049049708176</v>
      </c>
      <c r="I71" s="72">
        <f t="shared" ref="I71:R71" si="63">IFERROR(I29/$B71,0)</f>
        <v>0</v>
      </c>
      <c r="J71" s="72">
        <f t="shared" si="63"/>
        <v>0</v>
      </c>
      <c r="K71" s="72">
        <f t="shared" si="63"/>
        <v>0</v>
      </c>
      <c r="L71" s="72">
        <f t="shared" si="63"/>
        <v>0</v>
      </c>
      <c r="M71" s="72">
        <f t="shared" si="63"/>
        <v>0</v>
      </c>
      <c r="N71" s="72">
        <f t="shared" si="63"/>
        <v>1381.5263880193399</v>
      </c>
      <c r="O71" s="72">
        <f t="shared" si="63"/>
        <v>7564.6993685449224</v>
      </c>
      <c r="P71" s="72">
        <f t="shared" si="63"/>
        <v>2633.992986075089</v>
      </c>
      <c r="Q71" s="72">
        <f t="shared" si="63"/>
        <v>1638.851646553986</v>
      </c>
      <c r="R71" s="72">
        <f t="shared" si="63"/>
        <v>7509.2049049708185</v>
      </c>
    </row>
    <row r="72" spans="1:18">
      <c r="A72" s="65" t="s">
        <v>414</v>
      </c>
      <c r="B72" s="89">
        <v>1</v>
      </c>
      <c r="C72" s="72">
        <f>IFERROR(C16/$B72,0)</f>
        <v>8.8054275246393452E-3</v>
      </c>
      <c r="D72" s="72">
        <f>IFERROR(D16/$B72,0)</f>
        <v>2.7765129211694278E-5</v>
      </c>
      <c r="E72" s="72">
        <f>IFERROR(E16/$B72,0)</f>
        <v>2.0298883077270229E-2</v>
      </c>
      <c r="F72" s="72">
        <f>IFERROR(F16/$B72,0)</f>
        <v>1918.4803533157517</v>
      </c>
      <c r="G72" s="70">
        <f t="shared" si="54"/>
        <v>6.1413504699538218E-3</v>
      </c>
      <c r="H72" s="70">
        <f t="shared" si="55"/>
        <v>2.7677855452645613E-5</v>
      </c>
      <c r="I72" s="72">
        <f t="shared" ref="I72:R72" si="64">IFERROR(I16/$B72,0)</f>
        <v>1551.7975921271195</v>
      </c>
      <c r="J72" s="72">
        <f t="shared" si="64"/>
        <v>2441.0299201999628</v>
      </c>
      <c r="K72" s="72">
        <f t="shared" si="64"/>
        <v>1580.0120938021582</v>
      </c>
      <c r="L72" s="72">
        <f t="shared" si="64"/>
        <v>1551.7975921271195</v>
      </c>
      <c r="M72" s="72">
        <f t="shared" si="64"/>
        <v>1279.8401289631431</v>
      </c>
      <c r="N72" s="72">
        <f t="shared" si="64"/>
        <v>2326.144590598552</v>
      </c>
      <c r="O72" s="72">
        <f t="shared" si="64"/>
        <v>3659.1038503797449</v>
      </c>
      <c r="P72" s="72">
        <f t="shared" si="64"/>
        <v>2368.4381286094354</v>
      </c>
      <c r="Q72" s="72">
        <f t="shared" si="64"/>
        <v>2326.144590598552</v>
      </c>
      <c r="R72" s="72">
        <f t="shared" si="64"/>
        <v>1918.4803533157517</v>
      </c>
    </row>
    <row r="73" spans="1:18">
      <c r="A73" s="65" t="s">
        <v>415</v>
      </c>
      <c r="B73" s="89">
        <v>1</v>
      </c>
      <c r="C73" s="72">
        <f>IFERROR(C7/$B73,0)</f>
        <v>4.6783034787396831</v>
      </c>
      <c r="D73" s="72">
        <f>IFERROR(D7/$B73,0)</f>
        <v>1.1467378708665513E-3</v>
      </c>
      <c r="E73" s="72">
        <f>IFERROR(E7/$B73,0)</f>
        <v>0.83837167778040733</v>
      </c>
      <c r="F73" s="72">
        <f>IFERROR(F7/$B73,0)</f>
        <v>118.60690503405074</v>
      </c>
      <c r="G73" s="70">
        <f t="shared" si="54"/>
        <v>0.70672761687622843</v>
      </c>
      <c r="H73" s="70">
        <f t="shared" si="55"/>
        <v>1.1464457717241187E-3</v>
      </c>
      <c r="I73" s="72">
        <f t="shared" ref="I73:R73" si="65">IFERROR(I7/$B73,0)</f>
        <v>709.07075283199663</v>
      </c>
      <c r="J73" s="72">
        <f t="shared" si="65"/>
        <v>1236.6531582129462</v>
      </c>
      <c r="K73" s="72">
        <f t="shared" si="65"/>
        <v>854.97008469043215</v>
      </c>
      <c r="L73" s="72">
        <f t="shared" si="65"/>
        <v>723.89453163684664</v>
      </c>
      <c r="M73" s="72">
        <f t="shared" si="65"/>
        <v>94.582858878828318</v>
      </c>
      <c r="N73" s="72">
        <f t="shared" si="65"/>
        <v>889.17472405132378</v>
      </c>
      <c r="O73" s="72">
        <f t="shared" si="65"/>
        <v>1550.7630603990349</v>
      </c>
      <c r="P73" s="72">
        <f t="shared" si="65"/>
        <v>1072.1324862018018</v>
      </c>
      <c r="Q73" s="72">
        <f t="shared" si="65"/>
        <v>907.76374267260553</v>
      </c>
      <c r="R73" s="72">
        <f t="shared" si="65"/>
        <v>118.60690503405074</v>
      </c>
    </row>
    <row r="74" spans="1:18">
      <c r="A74" s="65" t="s">
        <v>416</v>
      </c>
      <c r="B74" s="91">
        <v>1.9000000000000001E-8</v>
      </c>
      <c r="C74" s="72">
        <f>IFERROR(C12/$B74,0)</f>
        <v>0</v>
      </c>
      <c r="D74" s="72">
        <f>IFERROR(D12/$B74,0)</f>
        <v>0</v>
      </c>
      <c r="E74" s="72">
        <f>IFERROR(E12/$B74,0)</f>
        <v>0</v>
      </c>
      <c r="F74" s="72">
        <f>IFERROR(F12/$B74,0)</f>
        <v>1470541281.0650585</v>
      </c>
      <c r="G74" s="70">
        <f t="shared" si="54"/>
        <v>1470541281.0650585</v>
      </c>
      <c r="H74" s="70">
        <f t="shared" si="55"/>
        <v>1470541281.0650585</v>
      </c>
      <c r="I74" s="72">
        <f t="shared" ref="I74:R74" si="66">IFERROR(I12/$B74,0)</f>
        <v>0</v>
      </c>
      <c r="J74" s="72">
        <f t="shared" si="66"/>
        <v>0</v>
      </c>
      <c r="K74" s="72">
        <f t="shared" si="66"/>
        <v>0</v>
      </c>
      <c r="L74" s="72">
        <f t="shared" si="66"/>
        <v>0</v>
      </c>
      <c r="M74" s="72">
        <f t="shared" si="66"/>
        <v>0</v>
      </c>
      <c r="N74" s="72">
        <f t="shared" si="66"/>
        <v>418049092.02027881</v>
      </c>
      <c r="O74" s="72">
        <f t="shared" si="66"/>
        <v>1847979813.7823656</v>
      </c>
      <c r="P74" s="72">
        <f t="shared" si="66"/>
        <v>662415952.57319558</v>
      </c>
      <c r="Q74" s="72">
        <f t="shared" si="66"/>
        <v>446645283.98257816</v>
      </c>
      <c r="R74" s="72">
        <f t="shared" si="66"/>
        <v>1470541281.0650585</v>
      </c>
    </row>
    <row r="75" spans="1:18">
      <c r="A75" s="65" t="s">
        <v>417</v>
      </c>
      <c r="B75" s="89">
        <v>1</v>
      </c>
      <c r="C75" s="72">
        <f>IFERROR(C18/$B75,0)</f>
        <v>5.0649401298751952E-3</v>
      </c>
      <c r="D75" s="72">
        <f>IFERROR(D18/$B75,0)</f>
        <v>3.5774301099683008E-5</v>
      </c>
      <c r="E75" s="72">
        <f>IFERROR(E18/$B75,0)</f>
        <v>2.6154330118790488E-2</v>
      </c>
      <c r="F75" s="72">
        <f>IFERROR(F18/$B75,0)</f>
        <v>451529.54085631034</v>
      </c>
      <c r="G75" s="70">
        <f t="shared" si="54"/>
        <v>4.2432162535717462E-3</v>
      </c>
      <c r="H75" s="70">
        <f t="shared" si="55"/>
        <v>3.5523394947075402E-5</v>
      </c>
      <c r="I75" s="72">
        <f t="shared" ref="I75:R75" si="67">IFERROR(I18/$B75,0)</f>
        <v>73170.156027118574</v>
      </c>
      <c r="J75" s="72">
        <f t="shared" si="67"/>
        <v>377088.51740938245</v>
      </c>
      <c r="K75" s="72">
        <f t="shared" si="67"/>
        <v>131532.06619160599</v>
      </c>
      <c r="L75" s="72">
        <f t="shared" si="67"/>
        <v>83702.223940112919</v>
      </c>
      <c r="M75" s="72">
        <f t="shared" si="67"/>
        <v>382976.70980178984</v>
      </c>
      <c r="N75" s="72">
        <f t="shared" si="67"/>
        <v>86267.613955972789</v>
      </c>
      <c r="O75" s="72">
        <f t="shared" si="67"/>
        <v>444587.36202566186</v>
      </c>
      <c r="P75" s="72">
        <f t="shared" si="67"/>
        <v>155076.30603990349</v>
      </c>
      <c r="Q75" s="72">
        <f t="shared" si="67"/>
        <v>98684.922025393127</v>
      </c>
      <c r="R75" s="72">
        <f t="shared" si="67"/>
        <v>451529.54085631034</v>
      </c>
    </row>
    <row r="76" spans="1:18">
      <c r="A76" s="65" t="s">
        <v>418</v>
      </c>
      <c r="B76" s="89">
        <v>1.339E-6</v>
      </c>
      <c r="C76" s="72">
        <f>IFERROR(C27/$B76,0)</f>
        <v>0</v>
      </c>
      <c r="D76" s="72">
        <f>IFERROR(D27/$B76,0)</f>
        <v>0</v>
      </c>
      <c r="E76" s="72">
        <f>IFERROR(E27/$B76,0)</f>
        <v>0</v>
      </c>
      <c r="F76" s="72">
        <f>IFERROR(F27/$B76,0)</f>
        <v>50802500.728462622</v>
      </c>
      <c r="G76" s="70">
        <f t="shared" si="54"/>
        <v>50802500.728462614</v>
      </c>
      <c r="H76" s="70">
        <f t="shared" si="55"/>
        <v>50802500.728462614</v>
      </c>
      <c r="I76" s="72">
        <f t="shared" ref="I76:R76" si="68">IFERROR(I27/$B76,0)</f>
        <v>213077103.61837891</v>
      </c>
      <c r="J76" s="72">
        <f t="shared" si="68"/>
        <v>358977189.34721971</v>
      </c>
      <c r="K76" s="72">
        <f t="shared" si="68"/>
        <v>257499538.64835894</v>
      </c>
      <c r="L76" s="72">
        <f t="shared" si="68"/>
        <v>218507854.3852641</v>
      </c>
      <c r="M76" s="72">
        <f t="shared" si="68"/>
        <v>38054307.661769755</v>
      </c>
      <c r="N76" s="72">
        <f t="shared" si="68"/>
        <v>284457933.33053589</v>
      </c>
      <c r="O76" s="72">
        <f t="shared" si="68"/>
        <v>479234547.77853823</v>
      </c>
      <c r="P76" s="72">
        <f t="shared" si="68"/>
        <v>343761884.09555918</v>
      </c>
      <c r="Q76" s="72">
        <f t="shared" si="68"/>
        <v>291707985.60432762</v>
      </c>
      <c r="R76" s="72">
        <f t="shared" si="68"/>
        <v>50802500.728462622</v>
      </c>
    </row>
  </sheetData>
  <sheetProtection algorithmName="SHA-512" hashValue="74F5L0Bu4MC+TKOw6keAx1L0y0SO6WeO8G+/63l4y08Yv3heY7jkXZgIoDeRmKfpzinLaDw+obU9LBP6mUMQMQ==" saltValue="QgJudggIBIUc0G5zLL1NEQ==" spinCount="100000" sheet="1" objects="1" scenarios="1"/>
  <autoFilter ref="A1:R76" xr:uid="{00000000-0009-0000-0000-000007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197</vt:i4>
      </vt:variant>
    </vt:vector>
  </HeadingPairs>
  <TitlesOfParts>
    <vt:vector size="216" baseType="lpstr">
      <vt:lpstr>Instructions</vt:lpstr>
      <vt:lpstr>Rad_Spec</vt:lpstr>
      <vt:lpstr>Fsurf</vt:lpstr>
      <vt:lpstr>acf</vt:lpstr>
      <vt:lpstr>pef</vt:lpstr>
      <vt:lpstr>d</vt:lpstr>
      <vt:lpstr>d_res</vt:lpstr>
      <vt:lpstr>d_ind</vt:lpstr>
      <vt:lpstr>d_out</vt:lpstr>
      <vt:lpstr>d_com</vt:lpstr>
      <vt:lpstr>st</vt:lpstr>
      <vt:lpstr>st_res</vt:lpstr>
      <vt:lpstr>st_ind</vt:lpstr>
      <vt:lpstr>st_out</vt:lpstr>
      <vt:lpstr>st_com</vt:lpstr>
      <vt:lpstr>st_res_dose</vt:lpstr>
      <vt:lpstr>st_ind_dose</vt:lpstr>
      <vt:lpstr>st_out_dose</vt:lpstr>
      <vt:lpstr>st_com_dose</vt:lpstr>
      <vt:lpstr>a_i</vt:lpstr>
      <vt:lpstr>a_p</vt:lpstr>
      <vt:lpstr>b_i</vt:lpstr>
      <vt:lpstr>c_p</vt:lpstr>
      <vt:lpstr>C_wear</vt:lpstr>
      <vt:lpstr>d__p</vt:lpstr>
      <vt:lpstr>d_A</vt:lpstr>
      <vt:lpstr>d_AAFres_a</vt:lpstr>
      <vt:lpstr>d_AAFres_c</vt:lpstr>
      <vt:lpstr>d_AR</vt:lpstr>
      <vt:lpstr>d_As</vt:lpstr>
      <vt:lpstr>d_Asw</vt:lpstr>
      <vt:lpstr>d_AVK__CA_urban_interstate</vt:lpstr>
      <vt:lpstr>d_Aw</vt:lpstr>
      <vt:lpstr>d_B</vt:lpstr>
      <vt:lpstr>d_Bw</vt:lpstr>
      <vt:lpstr>d_C</vt:lpstr>
      <vt:lpstr>d_Cw</vt:lpstr>
      <vt:lpstr>d_DL</vt:lpstr>
      <vt:lpstr>d_ED</vt:lpstr>
      <vt:lpstr>d_ED_res</vt:lpstr>
      <vt:lpstr>d_ED_res_a</vt:lpstr>
      <vt:lpstr>d_ED_res_c</vt:lpstr>
      <vt:lpstr>d_ED_w</vt:lpstr>
      <vt:lpstr>d_EF_iw</vt:lpstr>
      <vt:lpstr>d_EF_ow</vt:lpstr>
      <vt:lpstr>d_EF_res</vt:lpstr>
      <vt:lpstr>d_EF_res_a</vt:lpstr>
      <vt:lpstr>d_EF_res_c</vt:lpstr>
      <vt:lpstr>d_EF_w</vt:lpstr>
      <vt:lpstr>d_ET_iw</vt:lpstr>
      <vt:lpstr>d_ET_ow</vt:lpstr>
      <vt:lpstr>d_ET_res_a_h</vt:lpstr>
      <vt:lpstr>d_ET_res_c_h</vt:lpstr>
      <vt:lpstr>d_ET_res_i</vt:lpstr>
      <vt:lpstr>d_ET_res_o</vt:lpstr>
      <vt:lpstr>d_ET_w</vt:lpstr>
      <vt:lpstr>d_Fam</vt:lpstr>
      <vt:lpstr>d_Foffset</vt:lpstr>
      <vt:lpstr>d_FQ_iw</vt:lpstr>
      <vt:lpstr>d_FQ_ow</vt:lpstr>
      <vt:lpstr>d_FQ_res_a</vt:lpstr>
      <vt:lpstr>d_FQ_res_c</vt:lpstr>
      <vt:lpstr>d_FQ_w</vt:lpstr>
      <vt:lpstr>d_FTSS_h</vt:lpstr>
      <vt:lpstr>d_GSF_i</vt:lpstr>
      <vt:lpstr>d_GSF_s</vt:lpstr>
      <vt:lpstr>d_HR__w</vt:lpstr>
      <vt:lpstr>d_HR_iw</vt:lpstr>
      <vt:lpstr>d_HR_ow</vt:lpstr>
      <vt:lpstr>d_IFAres_adj</vt:lpstr>
      <vt:lpstr>d_IFD_iw</vt:lpstr>
      <vt:lpstr>d_IFD_ow</vt:lpstr>
      <vt:lpstr>d_IFD_w</vt:lpstr>
      <vt:lpstr>d_IFDres_adj</vt:lpstr>
      <vt:lpstr>d_IRA_iw</vt:lpstr>
      <vt:lpstr>d_IRA_ow</vt:lpstr>
      <vt:lpstr>d_IRA_res_a</vt:lpstr>
      <vt:lpstr>d_IRA_res_c</vt:lpstr>
      <vt:lpstr>d_IRA_w</vt:lpstr>
      <vt:lpstr>d_k</vt:lpstr>
      <vt:lpstr>d_k_pp</vt:lpstr>
      <vt:lpstr>d_Km__CA_urban_interstate</vt:lpstr>
      <vt:lpstr>d_LR</vt:lpstr>
      <vt:lpstr>d_LS</vt:lpstr>
      <vt:lpstr>d_p</vt:lpstr>
      <vt:lpstr>d_PEF</vt:lpstr>
      <vt:lpstr>d_PEFm_pp</vt:lpstr>
      <vt:lpstr>d_Q_Cm</vt:lpstr>
      <vt:lpstr>d_SA_iw</vt:lpstr>
      <vt:lpstr>d_SA_ow</vt:lpstr>
      <vt:lpstr>d_SA_res_a</vt:lpstr>
      <vt:lpstr>d_SA_res_c</vt:lpstr>
      <vt:lpstr>d_SA_w</vt:lpstr>
      <vt:lpstr>d_SE</vt:lpstr>
      <vt:lpstr>d_sL</vt:lpstr>
      <vt:lpstr>d_SLF</vt:lpstr>
      <vt:lpstr>d_T</vt:lpstr>
      <vt:lpstr>d_VKT</vt:lpstr>
      <vt:lpstr>d_W</vt:lpstr>
      <vt:lpstr>d_WR</vt:lpstr>
      <vt:lpstr>day_wk</vt:lpstr>
      <vt:lpstr>k_decay_iw_state</vt:lpstr>
      <vt:lpstr>k_decay_ow_state</vt:lpstr>
      <vt:lpstr>k_decay_res_state</vt:lpstr>
      <vt:lpstr>k_decay_w_state</vt:lpstr>
      <vt:lpstr>km_trip</vt:lpstr>
      <vt:lpstr>LS</vt:lpstr>
      <vt:lpstr>number_cars</vt:lpstr>
      <vt:lpstr>number_trucks</vt:lpstr>
      <vt:lpstr>s_A</vt:lpstr>
      <vt:lpstr>s_AR</vt:lpstr>
      <vt:lpstr>s_As</vt:lpstr>
      <vt:lpstr>s_Asw</vt:lpstr>
      <vt:lpstr>s_AVK__TN_rural_interstate</vt:lpstr>
      <vt:lpstr>s_Aw</vt:lpstr>
      <vt:lpstr>s_B</vt:lpstr>
      <vt:lpstr>s_Bw</vt:lpstr>
      <vt:lpstr>s_C</vt:lpstr>
      <vt:lpstr>s_Cw</vt:lpstr>
      <vt:lpstr>s_ED</vt:lpstr>
      <vt:lpstr>s_F_x_w</vt:lpstr>
      <vt:lpstr>s_k_pp</vt:lpstr>
      <vt:lpstr>s_k_ui</vt:lpstr>
      <vt:lpstr>s_k_up</vt:lpstr>
      <vt:lpstr>s_Km_TN_rural_interstate</vt:lpstr>
      <vt:lpstr>s_LR</vt:lpstr>
      <vt:lpstr>s_LS</vt:lpstr>
      <vt:lpstr>s_M_moisture</vt:lpstr>
      <vt:lpstr>s_p</vt:lpstr>
      <vt:lpstr>s_PEF</vt:lpstr>
      <vt:lpstr>s_PEFm_pp</vt:lpstr>
      <vt:lpstr>s_PEFm_pp_state</vt:lpstr>
      <vt:lpstr>s_PEFm_ui</vt:lpstr>
      <vt:lpstr>s_PEFm_up</vt:lpstr>
      <vt:lpstr>s_Q_Cm</vt:lpstr>
      <vt:lpstr>s_Q_Cw</vt:lpstr>
      <vt:lpstr>s_S_speed</vt:lpstr>
      <vt:lpstr>s_silt</vt:lpstr>
      <vt:lpstr>s_sL</vt:lpstr>
      <vt:lpstr>s_T</vt:lpstr>
      <vt:lpstr>s_Umw</vt:lpstr>
      <vt:lpstr>s_Utw</vt:lpstr>
      <vt:lpstr>s_VKT_up</vt:lpstr>
      <vt:lpstr>s_VKTm_pp</vt:lpstr>
      <vt:lpstr>s_VKTm_st</vt:lpstr>
      <vt:lpstr>s_Vw</vt:lpstr>
      <vt:lpstr>s_W</vt:lpstr>
      <vt:lpstr>s_WR</vt:lpstr>
      <vt:lpstr>ss_ED</vt:lpstr>
      <vt:lpstr>ss_sL</vt:lpstr>
      <vt:lpstr>ss_T</vt:lpstr>
      <vt:lpstr>st_AAFres_a</vt:lpstr>
      <vt:lpstr>st_AAFres_c</vt:lpstr>
      <vt:lpstr>st_DL</vt:lpstr>
      <vt:lpstr>st_ED_iw</vt:lpstr>
      <vt:lpstr>st_ED_ow</vt:lpstr>
      <vt:lpstr>st_ED_res</vt:lpstr>
      <vt:lpstr>st_ED_res_a</vt:lpstr>
      <vt:lpstr>st_ED_res_c</vt:lpstr>
      <vt:lpstr>st_ED_w</vt:lpstr>
      <vt:lpstr>st_EF_iw</vt:lpstr>
      <vt:lpstr>st_EF_ow</vt:lpstr>
      <vt:lpstr>st_EF_res</vt:lpstr>
      <vt:lpstr>st_EF_res_a</vt:lpstr>
      <vt:lpstr>st_EF_res_c</vt:lpstr>
      <vt:lpstr>st_EF_w</vt:lpstr>
      <vt:lpstr>st_ET_iw</vt:lpstr>
      <vt:lpstr>st_ET_ow</vt:lpstr>
      <vt:lpstr>st_ET_res_a_h</vt:lpstr>
      <vt:lpstr>st_ET_res_c_h</vt:lpstr>
      <vt:lpstr>st_ET_res_i</vt:lpstr>
      <vt:lpstr>st_ET_res_o</vt:lpstr>
      <vt:lpstr>st_ET_w</vt:lpstr>
      <vt:lpstr>st_F_cd</vt:lpstr>
      <vt:lpstr>st_Fam</vt:lpstr>
      <vt:lpstr>st_Foffset</vt:lpstr>
      <vt:lpstr>st_FQ_iw</vt:lpstr>
      <vt:lpstr>st_FQ_ow</vt:lpstr>
      <vt:lpstr>st_FQ_res_a</vt:lpstr>
      <vt:lpstr>st_FQ_res_c</vt:lpstr>
      <vt:lpstr>st_FQ_w</vt:lpstr>
      <vt:lpstr>st_FTSS_h</vt:lpstr>
      <vt:lpstr>st_GSF_i</vt:lpstr>
      <vt:lpstr>st_GSF_s</vt:lpstr>
      <vt:lpstr>st_HR__w</vt:lpstr>
      <vt:lpstr>st_HR_iw</vt:lpstr>
      <vt:lpstr>st_HR_ow</vt:lpstr>
      <vt:lpstr>st_IFAres_adj</vt:lpstr>
      <vt:lpstr>st_IFD_iw</vt:lpstr>
      <vt:lpstr>st_IFD_ow</vt:lpstr>
      <vt:lpstr>st_IFD_w</vt:lpstr>
      <vt:lpstr>st_IFDres_adj</vt:lpstr>
      <vt:lpstr>st_IRA_iw</vt:lpstr>
      <vt:lpstr>st_IRA_ow</vt:lpstr>
      <vt:lpstr>st_IRA_res_a</vt:lpstr>
      <vt:lpstr>st_IRA_res_c</vt:lpstr>
      <vt:lpstr>st_IRA_w</vt:lpstr>
      <vt:lpstr>st_k</vt:lpstr>
      <vt:lpstr>st_SA_iw</vt:lpstr>
      <vt:lpstr>st_SA_ow</vt:lpstr>
      <vt:lpstr>st_SA_res_a</vt:lpstr>
      <vt:lpstr>st_SA_res_c</vt:lpstr>
      <vt:lpstr>st_SA_w</vt:lpstr>
      <vt:lpstr>st_SE</vt:lpstr>
      <vt:lpstr>st_SLF</vt:lpstr>
      <vt:lpstr>st_t_com</vt:lpstr>
      <vt:lpstr>st_t_ind</vt:lpstr>
      <vt:lpstr>st_t_out</vt:lpstr>
      <vt:lpstr>st_t_res</vt:lpstr>
      <vt:lpstr>t_com</vt:lpstr>
      <vt:lpstr>t_ind</vt:lpstr>
      <vt:lpstr>t_out</vt:lpstr>
      <vt:lpstr>t_res</vt:lpstr>
      <vt:lpstr>total_vehic</vt:lpstr>
      <vt:lpstr>trip_day</vt:lpstr>
      <vt:lpstr>wk_yr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Manning, Karessa L.</dc:creator>
  <cp:lastModifiedBy>Manning, Karessa L.</cp:lastModifiedBy>
  <dcterms:created xsi:type="dcterms:W3CDTF">2017-03-21T13:52:00Z</dcterms:created>
  <dcterms:modified xsi:type="dcterms:W3CDTF">2020-03-16T15:00:46Z</dcterms:modified>
</cp:coreProperties>
</file>