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300" windowWidth="20490" windowHeight="7455" tabRatio="720" firstSheet="5" activeTab="13"/>
  </bookViews>
  <sheets>
    <sheet name="Instructions" sheetId="22" r:id="rId1"/>
    <sheet name="State_Am-241" sheetId="18" r:id="rId2"/>
    <sheet name="State_Cs-137+D" sheetId="19" r:id="rId3"/>
    <sheet name="State_Ra-226+D" sheetId="20" r:id="rId4"/>
    <sheet name="State_Rn-222+D" sheetId="21" r:id="rId5"/>
    <sheet name="Default_Am-241" sheetId="9" r:id="rId6"/>
    <sheet name="Default_Cs-137+D" sheetId="10" r:id="rId7"/>
    <sheet name="Default_Ra-226+D" sheetId="11" r:id="rId8"/>
    <sheet name="Default_Rn-222+D" sheetId="12" r:id="rId9"/>
    <sheet name="Site_Am-241" sheetId="14" r:id="rId10"/>
    <sheet name="Site_Cs-137+D" sheetId="15" r:id="rId11"/>
    <sheet name="Site_Ra-226+D" sheetId="16" r:id="rId12"/>
    <sheet name="Site_Rn-222+D" sheetId="17" r:id="rId13"/>
    <sheet name="PEF" sheetId="13" r:id="rId14"/>
  </sheets>
  <calcPr calcId="145621"/>
</workbook>
</file>

<file path=xl/calcChain.xml><?xml version="1.0" encoding="utf-8"?>
<calcChain xmlns="http://schemas.openxmlformats.org/spreadsheetml/2006/main">
  <c r="E2" i="13" l="1"/>
  <c r="G2" i="13"/>
  <c r="I2" i="13"/>
  <c r="K2" i="13"/>
  <c r="M2" i="13"/>
  <c r="O2" i="13"/>
  <c r="E17" i="18" l="1"/>
  <c r="E20" i="18"/>
  <c r="N36" i="18"/>
  <c r="K36" i="18"/>
  <c r="H36" i="18"/>
  <c r="E46" i="18"/>
  <c r="E52" i="17" l="1"/>
  <c r="E50" i="17"/>
  <c r="E49" i="17"/>
  <c r="E48" i="17"/>
  <c r="E47" i="17"/>
  <c r="E46" i="17"/>
  <c r="AL45" i="17"/>
  <c r="AI45" i="17"/>
  <c r="AC45" i="17"/>
  <c r="Z45" i="17"/>
  <c r="T45" i="17"/>
  <c r="Q45" i="17"/>
  <c r="K45" i="17"/>
  <c r="H45" i="17"/>
  <c r="E45" i="17"/>
  <c r="AL44" i="17"/>
  <c r="AI44" i="17"/>
  <c r="AC44" i="17"/>
  <c r="Z44" i="17"/>
  <c r="T44" i="17"/>
  <c r="Q44" i="17"/>
  <c r="K44" i="17"/>
  <c r="H44" i="17"/>
  <c r="E44" i="17"/>
  <c r="AL43" i="17"/>
  <c r="AI43" i="17"/>
  <c r="AC43" i="17"/>
  <c r="Z43" i="17"/>
  <c r="T43" i="17"/>
  <c r="Q43" i="17"/>
  <c r="K43" i="17"/>
  <c r="H43" i="17"/>
  <c r="E43" i="17"/>
  <c r="AF42" i="17"/>
  <c r="W42" i="17"/>
  <c r="N42" i="17"/>
  <c r="E42" i="17"/>
  <c r="AL41" i="17"/>
  <c r="AC41" i="17"/>
  <c r="T41" i="17"/>
  <c r="K41" i="17"/>
  <c r="E41" i="17"/>
  <c r="AL40" i="17"/>
  <c r="AF40" i="17"/>
  <c r="AC40" i="17"/>
  <c r="W40" i="17"/>
  <c r="T40" i="17"/>
  <c r="N40" i="17"/>
  <c r="K40" i="17"/>
  <c r="E40" i="17"/>
  <c r="AL39" i="17"/>
  <c r="AF39" i="17"/>
  <c r="AC39" i="17"/>
  <c r="W39" i="17"/>
  <c r="T39" i="17"/>
  <c r="N39" i="17"/>
  <c r="K39" i="17"/>
  <c r="E39" i="17"/>
  <c r="AL38" i="17"/>
  <c r="AF38" i="17"/>
  <c r="AF18" i="17" s="1"/>
  <c r="AF2" i="17" s="1"/>
  <c r="AC38" i="17"/>
  <c r="W38" i="17"/>
  <c r="T38" i="17"/>
  <c r="N38" i="17"/>
  <c r="K38" i="17"/>
  <c r="E38" i="17"/>
  <c r="AL37" i="17"/>
  <c r="AI37" i="17"/>
  <c r="AF37" i="17"/>
  <c r="AC37" i="17"/>
  <c r="Z37" i="17"/>
  <c r="W37" i="17"/>
  <c r="T37" i="17"/>
  <c r="Q37" i="17"/>
  <c r="N37" i="17"/>
  <c r="K37" i="17"/>
  <c r="H37" i="17"/>
  <c r="E37" i="17"/>
  <c r="E23" i="17"/>
  <c r="AF36" i="17"/>
  <c r="W36" i="17"/>
  <c r="N36" i="17"/>
  <c r="K36" i="17"/>
  <c r="H36" i="17"/>
  <c r="E36" i="17"/>
  <c r="AL35" i="17"/>
  <c r="AI35" i="17"/>
  <c r="AF35" i="17"/>
  <c r="AC35" i="17"/>
  <c r="Z35" i="17"/>
  <c r="W35" i="17"/>
  <c r="T35" i="17"/>
  <c r="Q35" i="17"/>
  <c r="N35" i="17"/>
  <c r="K35" i="17"/>
  <c r="H35" i="17"/>
  <c r="E35" i="17"/>
  <c r="AL34" i="17"/>
  <c r="AI34" i="17"/>
  <c r="AF34" i="17"/>
  <c r="AC34" i="17"/>
  <c r="Z34" i="17"/>
  <c r="W34" i="17"/>
  <c r="T34" i="17"/>
  <c r="Q34" i="17"/>
  <c r="N34" i="17"/>
  <c r="K34" i="17"/>
  <c r="H34" i="17"/>
  <c r="E34" i="17"/>
  <c r="AL33" i="17"/>
  <c r="AI33" i="17"/>
  <c r="AF33" i="17"/>
  <c r="AC33" i="17"/>
  <c r="Z33" i="17"/>
  <c r="W33" i="17"/>
  <c r="T33" i="17"/>
  <c r="Q33" i="17"/>
  <c r="N33" i="17"/>
  <c r="K33" i="17"/>
  <c r="H33" i="17"/>
  <c r="E33" i="17"/>
  <c r="AL32" i="17"/>
  <c r="AI32" i="17"/>
  <c r="AF32" i="17"/>
  <c r="AC32" i="17"/>
  <c r="Z32" i="17"/>
  <c r="W32" i="17"/>
  <c r="T32" i="17"/>
  <c r="Q32" i="17"/>
  <c r="N32" i="17"/>
  <c r="K32" i="17"/>
  <c r="H32" i="17"/>
  <c r="E32" i="17"/>
  <c r="AF31" i="17"/>
  <c r="W31" i="17"/>
  <c r="N31" i="17"/>
  <c r="E31" i="17"/>
  <c r="AL30" i="17"/>
  <c r="AI30" i="17"/>
  <c r="AF30" i="17"/>
  <c r="AC30" i="17"/>
  <c r="Z30" i="17"/>
  <c r="W30" i="17"/>
  <c r="W9" i="17"/>
  <c r="T30" i="17"/>
  <c r="Q30" i="17"/>
  <c r="N30" i="17"/>
  <c r="K30" i="17"/>
  <c r="H30" i="17"/>
  <c r="E30" i="17"/>
  <c r="AF29" i="17"/>
  <c r="W29" i="17"/>
  <c r="N29" i="17"/>
  <c r="K29" i="17"/>
  <c r="H29" i="17"/>
  <c r="E29" i="17"/>
  <c r="AL28" i="17"/>
  <c r="AI28" i="17"/>
  <c r="AF28" i="17"/>
  <c r="AC28" i="17"/>
  <c r="AC18" i="17"/>
  <c r="Z28" i="17"/>
  <c r="Z18" i="17"/>
  <c r="W28" i="17"/>
  <c r="T28" i="17"/>
  <c r="Q28" i="17"/>
  <c r="N28" i="17"/>
  <c r="K28" i="17"/>
  <c r="H28" i="17"/>
  <c r="H18" i="17"/>
  <c r="E28" i="17"/>
  <c r="AL27" i="17"/>
  <c r="AI27" i="17"/>
  <c r="AF27" i="17"/>
  <c r="AC27" i="17"/>
  <c r="Z27" i="17"/>
  <c r="W27" i="17"/>
  <c r="T27" i="17"/>
  <c r="Q27" i="17"/>
  <c r="N27" i="17"/>
  <c r="K27" i="17"/>
  <c r="H27" i="17"/>
  <c r="E27" i="17"/>
  <c r="AL26" i="17"/>
  <c r="AI26" i="17"/>
  <c r="AF26" i="17"/>
  <c r="AC26" i="17"/>
  <c r="Z26" i="17"/>
  <c r="W26" i="17"/>
  <c r="T26" i="17"/>
  <c r="Q26" i="17"/>
  <c r="N26" i="17"/>
  <c r="K26" i="17"/>
  <c r="H26" i="17"/>
  <c r="E26" i="17"/>
  <c r="AL25" i="17"/>
  <c r="AI25" i="17"/>
  <c r="AF25" i="17"/>
  <c r="AC25" i="17"/>
  <c r="Z25" i="17"/>
  <c r="W25" i="17"/>
  <c r="T25" i="17"/>
  <c r="Q25" i="17"/>
  <c r="N25" i="17"/>
  <c r="K25" i="17"/>
  <c r="H25" i="17"/>
  <c r="E25" i="17"/>
  <c r="AL24" i="17"/>
  <c r="AI24" i="17"/>
  <c r="AF24" i="17"/>
  <c r="AC24" i="17"/>
  <c r="Z24" i="17"/>
  <c r="W24" i="17"/>
  <c r="T24" i="17"/>
  <c r="Q24" i="17"/>
  <c r="N24" i="17"/>
  <c r="K24" i="17"/>
  <c r="H24" i="17"/>
  <c r="E24" i="17"/>
  <c r="AL23" i="17"/>
  <c r="AI23" i="17"/>
  <c r="AF23" i="17"/>
  <c r="AC23" i="17"/>
  <c r="Z23" i="17"/>
  <c r="W23" i="17"/>
  <c r="T23" i="17"/>
  <c r="Q23" i="17"/>
  <c r="N23" i="17"/>
  <c r="N22" i="17"/>
  <c r="K23" i="17"/>
  <c r="H23" i="17"/>
  <c r="AL22" i="17"/>
  <c r="AI22" i="17"/>
  <c r="AF22" i="17"/>
  <c r="AC22" i="17"/>
  <c r="Z22" i="17"/>
  <c r="W22" i="17"/>
  <c r="T22" i="17"/>
  <c r="Q22" i="17"/>
  <c r="K22" i="17"/>
  <c r="H22" i="17"/>
  <c r="E22" i="17"/>
  <c r="AL21" i="17"/>
  <c r="AL19" i="17"/>
  <c r="AI21" i="17"/>
  <c r="AI19" i="17"/>
  <c r="AC21" i="17"/>
  <c r="Z21" i="17"/>
  <c r="T21" i="17"/>
  <c r="T19" i="17"/>
  <c r="Q21" i="17"/>
  <c r="Q19" i="17"/>
  <c r="K21" i="17"/>
  <c r="H21" i="17"/>
  <c r="H19" i="17"/>
  <c r="AC19" i="17"/>
  <c r="AC20" i="17"/>
  <c r="Z19" i="17"/>
  <c r="Z20" i="17"/>
  <c r="K19" i="17"/>
  <c r="AL18" i="17"/>
  <c r="AI18" i="17"/>
  <c r="T18" i="17"/>
  <c r="Q18" i="17"/>
  <c r="K18" i="17"/>
  <c r="K20" i="17"/>
  <c r="AL17" i="17"/>
  <c r="AI17" i="17"/>
  <c r="AC17" i="17"/>
  <c r="Z17" i="17"/>
  <c r="Z6" i="17"/>
  <c r="T17" i="17"/>
  <c r="Q17" i="17"/>
  <c r="K17" i="17"/>
  <c r="H17" i="17"/>
  <c r="AF16" i="17"/>
  <c r="W16" i="17"/>
  <c r="N16" i="17"/>
  <c r="E16" i="17"/>
  <c r="AF15" i="17"/>
  <c r="W15" i="17"/>
  <c r="N15" i="17"/>
  <c r="E15" i="17"/>
  <c r="AF14" i="17"/>
  <c r="W14" i="17"/>
  <c r="N14" i="17"/>
  <c r="E14" i="17"/>
  <c r="AF13" i="17"/>
  <c r="W13" i="17"/>
  <c r="N13" i="17"/>
  <c r="E13" i="17"/>
  <c r="E11" i="17"/>
  <c r="E12" i="17"/>
  <c r="N12" i="17"/>
  <c r="AF11" i="17"/>
  <c r="AF12" i="17"/>
  <c r="W11" i="17"/>
  <c r="N11" i="17"/>
  <c r="AF10" i="17"/>
  <c r="W10" i="17"/>
  <c r="N10" i="17"/>
  <c r="E10" i="17"/>
  <c r="AF9" i="17"/>
  <c r="AF19" i="17"/>
  <c r="N9" i="17"/>
  <c r="E9" i="17"/>
  <c r="E19" i="17"/>
  <c r="AF8" i="17"/>
  <c r="AF20" i="17"/>
  <c r="W8" i="17"/>
  <c r="N8" i="17"/>
  <c r="N19" i="17"/>
  <c r="E8" i="17"/>
  <c r="E52" i="16"/>
  <c r="E50" i="16"/>
  <c r="E49" i="16"/>
  <c r="E48" i="16"/>
  <c r="E47" i="16"/>
  <c r="E46" i="16"/>
  <c r="AL45" i="16"/>
  <c r="AI45" i="16"/>
  <c r="AC45" i="16"/>
  <c r="Z45" i="16"/>
  <c r="T45" i="16"/>
  <c r="Q45" i="16"/>
  <c r="K45" i="16"/>
  <c r="H45" i="16"/>
  <c r="E45" i="16"/>
  <c r="AL44" i="16"/>
  <c r="AI44" i="16"/>
  <c r="AC44" i="16"/>
  <c r="Z44" i="16"/>
  <c r="T44" i="16"/>
  <c r="Q44" i="16"/>
  <c r="K44" i="16"/>
  <c r="H44" i="16"/>
  <c r="E44" i="16"/>
  <c r="AL43" i="16"/>
  <c r="AI43" i="16"/>
  <c r="AC43" i="16"/>
  <c r="Z43" i="16"/>
  <c r="T43" i="16"/>
  <c r="Q43" i="16"/>
  <c r="K43" i="16"/>
  <c r="H43" i="16"/>
  <c r="E43" i="16"/>
  <c r="AF42" i="16"/>
  <c r="W42" i="16"/>
  <c r="N42" i="16"/>
  <c r="E42" i="16"/>
  <c r="AL41" i="16"/>
  <c r="AC41" i="16"/>
  <c r="T41" i="16"/>
  <c r="K41" i="16"/>
  <c r="E41" i="16"/>
  <c r="AL40" i="16"/>
  <c r="AF40" i="16"/>
  <c r="AC40" i="16"/>
  <c r="W40" i="16"/>
  <c r="T40" i="16"/>
  <c r="N40" i="16"/>
  <c r="K40" i="16"/>
  <c r="E40" i="16"/>
  <c r="AL39" i="16"/>
  <c r="AF39" i="16"/>
  <c r="AC39" i="16"/>
  <c r="W39" i="16"/>
  <c r="T39" i="16"/>
  <c r="N39" i="16"/>
  <c r="K39" i="16"/>
  <c r="E39" i="16"/>
  <c r="AL38" i="16"/>
  <c r="AF38" i="16"/>
  <c r="AF18" i="16" s="1"/>
  <c r="AF2" i="16" s="1"/>
  <c r="AC38" i="16"/>
  <c r="W38" i="16"/>
  <c r="T38" i="16"/>
  <c r="N38" i="16"/>
  <c r="K38" i="16"/>
  <c r="E38" i="16"/>
  <c r="AL37" i="16"/>
  <c r="AI37" i="16"/>
  <c r="AF37" i="16"/>
  <c r="AC37" i="16"/>
  <c r="Z37" i="16"/>
  <c r="W37" i="16"/>
  <c r="T37" i="16"/>
  <c r="Q37" i="16"/>
  <c r="N37" i="16"/>
  <c r="K37" i="16"/>
  <c r="H37" i="16"/>
  <c r="E37" i="16"/>
  <c r="E23" i="16"/>
  <c r="AF36" i="16"/>
  <c r="W36" i="16"/>
  <c r="N36" i="16"/>
  <c r="K36" i="16"/>
  <c r="H36" i="16"/>
  <c r="E36" i="16"/>
  <c r="AL35" i="16"/>
  <c r="AI35" i="16"/>
  <c r="AF35" i="16"/>
  <c r="AC35" i="16"/>
  <c r="Z35" i="16"/>
  <c r="W35" i="16"/>
  <c r="T35" i="16"/>
  <c r="Q35" i="16"/>
  <c r="N35" i="16"/>
  <c r="K35" i="16"/>
  <c r="H35" i="16"/>
  <c r="E35" i="16"/>
  <c r="AL34" i="16"/>
  <c r="AI34" i="16"/>
  <c r="AF34" i="16"/>
  <c r="AC34" i="16"/>
  <c r="Z34" i="16"/>
  <c r="W34" i="16"/>
  <c r="T34" i="16"/>
  <c r="Q34" i="16"/>
  <c r="N34" i="16"/>
  <c r="K34" i="16"/>
  <c r="H34" i="16"/>
  <c r="E34" i="16"/>
  <c r="AL33" i="16"/>
  <c r="AI33" i="16"/>
  <c r="AF33" i="16"/>
  <c r="AC33" i="16"/>
  <c r="Z33" i="16"/>
  <c r="W33" i="16"/>
  <c r="T33" i="16"/>
  <c r="Q33" i="16"/>
  <c r="N33" i="16"/>
  <c r="K33" i="16"/>
  <c r="H33" i="16"/>
  <c r="E33" i="16"/>
  <c r="AL32" i="16"/>
  <c r="AI32" i="16"/>
  <c r="AF32" i="16"/>
  <c r="AC32" i="16"/>
  <c r="Z32" i="16"/>
  <c r="W32" i="16"/>
  <c r="T32" i="16"/>
  <c r="Q32" i="16"/>
  <c r="N32" i="16"/>
  <c r="K32" i="16"/>
  <c r="H32" i="16"/>
  <c r="E32" i="16"/>
  <c r="AF31" i="16"/>
  <c r="W31" i="16"/>
  <c r="N31" i="16"/>
  <c r="E31" i="16"/>
  <c r="E22" i="16"/>
  <c r="AL30" i="16"/>
  <c r="AI30" i="16"/>
  <c r="AF30" i="16"/>
  <c r="AC30" i="16"/>
  <c r="Z30" i="16"/>
  <c r="W30" i="16"/>
  <c r="T30" i="16"/>
  <c r="Q30" i="16"/>
  <c r="N30" i="16"/>
  <c r="K30" i="16"/>
  <c r="H30" i="16"/>
  <c r="E30" i="16"/>
  <c r="AF29" i="16"/>
  <c r="W29" i="16"/>
  <c r="N29" i="16"/>
  <c r="K29" i="16"/>
  <c r="H29" i="16"/>
  <c r="E29" i="16"/>
  <c r="AL28" i="16"/>
  <c r="AI28" i="16"/>
  <c r="AF28" i="16"/>
  <c r="AC28" i="16"/>
  <c r="AC18" i="16"/>
  <c r="Z28" i="16"/>
  <c r="Z18" i="16"/>
  <c r="W28" i="16"/>
  <c r="T28" i="16"/>
  <c r="Q28" i="16"/>
  <c r="N28" i="16"/>
  <c r="K28" i="16"/>
  <c r="H28" i="16"/>
  <c r="H18" i="16"/>
  <c r="E28" i="16"/>
  <c r="AL27" i="16"/>
  <c r="AI27" i="16"/>
  <c r="AF27" i="16"/>
  <c r="AC27" i="16"/>
  <c r="Z27" i="16"/>
  <c r="W27" i="16"/>
  <c r="T27" i="16"/>
  <c r="Q27" i="16"/>
  <c r="N27" i="16"/>
  <c r="K27" i="16"/>
  <c r="H27" i="16"/>
  <c r="E27" i="16"/>
  <c r="AL26" i="16"/>
  <c r="AI26" i="16"/>
  <c r="AF26" i="16"/>
  <c r="AC26" i="16"/>
  <c r="Z26" i="16"/>
  <c r="W26" i="16"/>
  <c r="T26" i="16"/>
  <c r="Q26" i="16"/>
  <c r="N26" i="16"/>
  <c r="K26" i="16"/>
  <c r="H26" i="16"/>
  <c r="E26" i="16"/>
  <c r="AL25" i="16"/>
  <c r="AI25" i="16"/>
  <c r="AF25" i="16"/>
  <c r="AC25" i="16"/>
  <c r="Z25" i="16"/>
  <c r="W25" i="16"/>
  <c r="T25" i="16"/>
  <c r="Q25" i="16"/>
  <c r="N25" i="16"/>
  <c r="K25" i="16"/>
  <c r="H25" i="16"/>
  <c r="E25" i="16"/>
  <c r="AL24" i="16"/>
  <c r="AI24" i="16"/>
  <c r="AF24" i="16"/>
  <c r="AC24" i="16"/>
  <c r="Z24" i="16"/>
  <c r="W24" i="16"/>
  <c r="T24" i="16"/>
  <c r="Q24" i="16"/>
  <c r="N24" i="16"/>
  <c r="K24" i="16"/>
  <c r="H24" i="16"/>
  <c r="E24" i="16"/>
  <c r="AL23" i="16"/>
  <c r="AI23" i="16"/>
  <c r="AF23" i="16"/>
  <c r="AC23" i="16"/>
  <c r="Z23" i="16"/>
  <c r="W23" i="16"/>
  <c r="T23" i="16"/>
  <c r="Q23" i="16"/>
  <c r="N23" i="16"/>
  <c r="N22" i="16"/>
  <c r="K23" i="16"/>
  <c r="H23" i="16"/>
  <c r="AL22" i="16"/>
  <c r="AI22" i="16"/>
  <c r="AF22" i="16"/>
  <c r="AC22" i="16"/>
  <c r="Z22" i="16"/>
  <c r="W22" i="16"/>
  <c r="T22" i="16"/>
  <c r="Q22" i="16"/>
  <c r="K22" i="16"/>
  <c r="H22" i="16"/>
  <c r="AL21" i="16"/>
  <c r="AL19" i="16"/>
  <c r="AL20" i="16"/>
  <c r="AI21" i="16"/>
  <c r="AI19" i="16"/>
  <c r="AC21" i="16"/>
  <c r="Z21" i="16"/>
  <c r="T21" i="16"/>
  <c r="T19" i="16"/>
  <c r="Q21" i="16"/>
  <c r="Q19" i="16"/>
  <c r="Q20" i="16"/>
  <c r="K21" i="16"/>
  <c r="K19" i="16"/>
  <c r="H21" i="16"/>
  <c r="H19" i="16"/>
  <c r="AC19" i="16"/>
  <c r="Z19" i="16"/>
  <c r="AL18" i="16"/>
  <c r="AL6" i="16"/>
  <c r="AI18" i="16"/>
  <c r="T18" i="16"/>
  <c r="Q18" i="16"/>
  <c r="Q5" i="16"/>
  <c r="K18" i="16"/>
  <c r="AL17" i="16"/>
  <c r="AI17" i="16"/>
  <c r="AC17" i="16"/>
  <c r="Z17" i="16"/>
  <c r="T17" i="16"/>
  <c r="Q17" i="16"/>
  <c r="K17" i="16"/>
  <c r="H17" i="16"/>
  <c r="AF16" i="16"/>
  <c r="W16" i="16"/>
  <c r="N16" i="16"/>
  <c r="E16" i="16"/>
  <c r="AF15" i="16"/>
  <c r="W15" i="16"/>
  <c r="N15" i="16"/>
  <c r="E15" i="16"/>
  <c r="AF14" i="16"/>
  <c r="W14" i="16"/>
  <c r="N14" i="16"/>
  <c r="E14" i="16"/>
  <c r="AF13" i="16"/>
  <c r="W13" i="16"/>
  <c r="N13" i="16"/>
  <c r="E13" i="16"/>
  <c r="N12" i="16"/>
  <c r="AF11" i="16"/>
  <c r="AF12" i="16"/>
  <c r="W11" i="16"/>
  <c r="W12" i="16"/>
  <c r="N11" i="16"/>
  <c r="E11" i="16"/>
  <c r="E12" i="16"/>
  <c r="AF10" i="16"/>
  <c r="W10" i="16"/>
  <c r="N10" i="16"/>
  <c r="E10" i="16"/>
  <c r="AF9" i="16"/>
  <c r="AF19" i="16"/>
  <c r="W9" i="16"/>
  <c r="W19" i="16"/>
  <c r="N9" i="16"/>
  <c r="E9" i="16"/>
  <c r="E19" i="16"/>
  <c r="AF8" i="16"/>
  <c r="AF20" i="16"/>
  <c r="W8" i="16"/>
  <c r="N8" i="16"/>
  <c r="N19" i="16"/>
  <c r="E8" i="16"/>
  <c r="E52" i="15"/>
  <c r="E50" i="15"/>
  <c r="E49" i="15"/>
  <c r="E48" i="15"/>
  <c r="E47" i="15"/>
  <c r="E46" i="15"/>
  <c r="AL45" i="15"/>
  <c r="AI45" i="15"/>
  <c r="AC45" i="15"/>
  <c r="Z45" i="15"/>
  <c r="T45" i="15"/>
  <c r="Q45" i="15"/>
  <c r="K45" i="15"/>
  <c r="H45" i="15"/>
  <c r="E45" i="15"/>
  <c r="AL44" i="15"/>
  <c r="AI44" i="15"/>
  <c r="AC44" i="15"/>
  <c r="Z44" i="15"/>
  <c r="T44" i="15"/>
  <c r="Q44" i="15"/>
  <c r="K44" i="15"/>
  <c r="H44" i="15"/>
  <c r="E44" i="15"/>
  <c r="AL43" i="15"/>
  <c r="AI43" i="15"/>
  <c r="AC43" i="15"/>
  <c r="Z43" i="15"/>
  <c r="T43" i="15"/>
  <c r="Q43" i="15"/>
  <c r="K43" i="15"/>
  <c r="H43" i="15"/>
  <c r="E43" i="15"/>
  <c r="AF42" i="15"/>
  <c r="W42" i="15"/>
  <c r="N42" i="15"/>
  <c r="E42" i="15"/>
  <c r="AL41" i="15"/>
  <c r="AC41" i="15"/>
  <c r="T41" i="15"/>
  <c r="K41" i="15"/>
  <c r="E41" i="15"/>
  <c r="AL40" i="15"/>
  <c r="AF40" i="15"/>
  <c r="AC40" i="15"/>
  <c r="W40" i="15"/>
  <c r="T40" i="15"/>
  <c r="N40" i="15"/>
  <c r="K40" i="15"/>
  <c r="E40" i="15"/>
  <c r="AL39" i="15"/>
  <c r="AF39" i="15"/>
  <c r="AC39" i="15"/>
  <c r="W39" i="15"/>
  <c r="T39" i="15"/>
  <c r="N39" i="15"/>
  <c r="K39" i="15"/>
  <c r="E39" i="15"/>
  <c r="AL38" i="15"/>
  <c r="AF38" i="15"/>
  <c r="AF18" i="15" s="1"/>
  <c r="AF2" i="15" s="1"/>
  <c r="AC38" i="15"/>
  <c r="W38" i="15"/>
  <c r="T38" i="15"/>
  <c r="N38" i="15"/>
  <c r="K38" i="15"/>
  <c r="E38" i="15"/>
  <c r="AL37" i="15"/>
  <c r="AI37" i="15"/>
  <c r="AF37" i="15"/>
  <c r="AC37" i="15"/>
  <c r="Z37" i="15"/>
  <c r="W37" i="15"/>
  <c r="T37" i="15"/>
  <c r="Q37" i="15"/>
  <c r="N37" i="15"/>
  <c r="K37" i="15"/>
  <c r="H37" i="15"/>
  <c r="E37" i="15"/>
  <c r="E23" i="15"/>
  <c r="AF36" i="15"/>
  <c r="W36" i="15"/>
  <c r="N36" i="15"/>
  <c r="K36" i="15"/>
  <c r="H36" i="15"/>
  <c r="E36" i="15"/>
  <c r="AL35" i="15"/>
  <c r="AI35" i="15"/>
  <c r="AF35" i="15"/>
  <c r="AC35" i="15"/>
  <c r="Z35" i="15"/>
  <c r="W35" i="15"/>
  <c r="T35" i="15"/>
  <c r="Q35" i="15"/>
  <c r="N35" i="15"/>
  <c r="K35" i="15"/>
  <c r="H35" i="15"/>
  <c r="E35" i="15"/>
  <c r="AL34" i="15"/>
  <c r="AI34" i="15"/>
  <c r="AF34" i="15"/>
  <c r="AC34" i="15"/>
  <c r="Z34" i="15"/>
  <c r="W34" i="15"/>
  <c r="T34" i="15"/>
  <c r="Q34" i="15"/>
  <c r="N34" i="15"/>
  <c r="K34" i="15"/>
  <c r="H34" i="15"/>
  <c r="E34" i="15"/>
  <c r="AL33" i="15"/>
  <c r="AI33" i="15"/>
  <c r="AF33" i="15"/>
  <c r="AC33" i="15"/>
  <c r="Z33" i="15"/>
  <c r="W33" i="15"/>
  <c r="T33" i="15"/>
  <c r="Q33" i="15"/>
  <c r="N33" i="15"/>
  <c r="K33" i="15"/>
  <c r="H33" i="15"/>
  <c r="E33" i="15"/>
  <c r="AL32" i="15"/>
  <c r="AI32" i="15"/>
  <c r="AF32" i="15"/>
  <c r="AC32" i="15"/>
  <c r="Z32" i="15"/>
  <c r="W32" i="15"/>
  <c r="T32" i="15"/>
  <c r="Q32" i="15"/>
  <c r="N32" i="15"/>
  <c r="K32" i="15"/>
  <c r="H32" i="15"/>
  <c r="E32" i="15"/>
  <c r="AF31" i="15"/>
  <c r="W31" i="15"/>
  <c r="N31" i="15"/>
  <c r="E31" i="15"/>
  <c r="AL30" i="15"/>
  <c r="AI30" i="15"/>
  <c r="AF30" i="15"/>
  <c r="AC30" i="15"/>
  <c r="Z30" i="15"/>
  <c r="W30" i="15"/>
  <c r="W9" i="15"/>
  <c r="T30" i="15"/>
  <c r="Q30" i="15"/>
  <c r="N30" i="15"/>
  <c r="K30" i="15"/>
  <c r="H30" i="15"/>
  <c r="E30" i="15"/>
  <c r="AF29" i="15"/>
  <c r="W29" i="15"/>
  <c r="N29" i="15"/>
  <c r="K29" i="15"/>
  <c r="H29" i="15"/>
  <c r="E29" i="15"/>
  <c r="AL28" i="15"/>
  <c r="AI28" i="15"/>
  <c r="AF28" i="15"/>
  <c r="AC28" i="15"/>
  <c r="AC18" i="15"/>
  <c r="Z28" i="15"/>
  <c r="Z18" i="15"/>
  <c r="W28" i="15"/>
  <c r="T28" i="15"/>
  <c r="Q28" i="15"/>
  <c r="N28" i="15"/>
  <c r="K28" i="15"/>
  <c r="H28" i="15"/>
  <c r="H18" i="15"/>
  <c r="E28" i="15"/>
  <c r="AL27" i="15"/>
  <c r="AI27" i="15"/>
  <c r="AF27" i="15"/>
  <c r="AC27" i="15"/>
  <c r="Z27" i="15"/>
  <c r="W27" i="15"/>
  <c r="T27" i="15"/>
  <c r="Q27" i="15"/>
  <c r="N27" i="15"/>
  <c r="K27" i="15"/>
  <c r="H27" i="15"/>
  <c r="E27" i="15"/>
  <c r="AL26" i="15"/>
  <c r="AI26" i="15"/>
  <c r="AF26" i="15"/>
  <c r="AC26" i="15"/>
  <c r="Z26" i="15"/>
  <c r="W26" i="15"/>
  <c r="T26" i="15"/>
  <c r="Q26" i="15"/>
  <c r="N26" i="15"/>
  <c r="K26" i="15"/>
  <c r="H26" i="15"/>
  <c r="E26" i="15"/>
  <c r="AL25" i="15"/>
  <c r="AI25" i="15"/>
  <c r="AF25" i="15"/>
  <c r="AC25" i="15"/>
  <c r="Z25" i="15"/>
  <c r="W25" i="15"/>
  <c r="T25" i="15"/>
  <c r="Q25" i="15"/>
  <c r="N25" i="15"/>
  <c r="K25" i="15"/>
  <c r="H25" i="15"/>
  <c r="E25" i="15"/>
  <c r="AL24" i="15"/>
  <c r="AI24" i="15"/>
  <c r="AF24" i="15"/>
  <c r="AC24" i="15"/>
  <c r="Z24" i="15"/>
  <c r="W24" i="15"/>
  <c r="T24" i="15"/>
  <c r="Q24" i="15"/>
  <c r="N24" i="15"/>
  <c r="K24" i="15"/>
  <c r="H24" i="15"/>
  <c r="E24" i="15"/>
  <c r="AL23" i="15"/>
  <c r="AI23" i="15"/>
  <c r="AF23" i="15"/>
  <c r="AC23" i="15"/>
  <c r="Z23" i="15"/>
  <c r="W23" i="15"/>
  <c r="T23" i="15"/>
  <c r="Q23" i="15"/>
  <c r="N23" i="15"/>
  <c r="N22" i="15"/>
  <c r="K23" i="15"/>
  <c r="H23" i="15"/>
  <c r="AL22" i="15"/>
  <c r="AI22" i="15"/>
  <c r="AF22" i="15"/>
  <c r="AC22" i="15"/>
  <c r="Z22" i="15"/>
  <c r="W22" i="15"/>
  <c r="T22" i="15"/>
  <c r="Q22" i="15"/>
  <c r="K22" i="15"/>
  <c r="H22" i="15"/>
  <c r="E22" i="15"/>
  <c r="AL21" i="15"/>
  <c r="AL19" i="15"/>
  <c r="AI21" i="15"/>
  <c r="AI19" i="15"/>
  <c r="AC21" i="15"/>
  <c r="Z21" i="15"/>
  <c r="T21" i="15"/>
  <c r="T19" i="15"/>
  <c r="Q21" i="15"/>
  <c r="Q19" i="15"/>
  <c r="K21" i="15"/>
  <c r="K19" i="15"/>
  <c r="H21" i="15"/>
  <c r="H19" i="15"/>
  <c r="AC19" i="15"/>
  <c r="Z19" i="15"/>
  <c r="AL18" i="15"/>
  <c r="AI18" i="15"/>
  <c r="T18" i="15"/>
  <c r="Q18" i="15"/>
  <c r="K18" i="15"/>
  <c r="AL17" i="15"/>
  <c r="AI17" i="15"/>
  <c r="AC17" i="15"/>
  <c r="Z17" i="15"/>
  <c r="T17" i="15"/>
  <c r="Q17" i="15"/>
  <c r="K17" i="15"/>
  <c r="H17" i="15"/>
  <c r="AF16" i="15"/>
  <c r="W16" i="15"/>
  <c r="N16" i="15"/>
  <c r="E16" i="15"/>
  <c r="AF15" i="15"/>
  <c r="W15" i="15"/>
  <c r="N15" i="15"/>
  <c r="E15" i="15"/>
  <c r="AF14" i="15"/>
  <c r="W14" i="15"/>
  <c r="N14" i="15"/>
  <c r="E14" i="15"/>
  <c r="AF13" i="15"/>
  <c r="W13" i="15"/>
  <c r="N13" i="15"/>
  <c r="E13" i="15"/>
  <c r="N12" i="15"/>
  <c r="AF11" i="15"/>
  <c r="AF12" i="15"/>
  <c r="W11" i="15"/>
  <c r="W12" i="15"/>
  <c r="N11" i="15"/>
  <c r="E11" i="15"/>
  <c r="E12" i="15"/>
  <c r="AF10" i="15"/>
  <c r="W10" i="15"/>
  <c r="N10" i="15"/>
  <c r="E10" i="15"/>
  <c r="AF9" i="15"/>
  <c r="AF19" i="15"/>
  <c r="N9" i="15"/>
  <c r="E9" i="15"/>
  <c r="E19" i="15"/>
  <c r="AF8" i="15"/>
  <c r="AF20" i="15"/>
  <c r="W8" i="15"/>
  <c r="N8" i="15"/>
  <c r="N19" i="15"/>
  <c r="E8" i="15"/>
  <c r="AL16" i="14"/>
  <c r="AL15" i="14"/>
  <c r="AL14" i="14"/>
  <c r="AL13" i="14"/>
  <c r="AL12" i="14"/>
  <c r="AI16" i="14"/>
  <c r="AI15" i="14"/>
  <c r="AI14" i="14"/>
  <c r="AI13" i="14"/>
  <c r="AI12" i="14"/>
  <c r="AC16" i="14"/>
  <c r="AC15" i="14"/>
  <c r="AC14" i="14"/>
  <c r="AC13" i="14"/>
  <c r="AC12" i="14"/>
  <c r="Z16" i="14"/>
  <c r="Z15" i="14"/>
  <c r="Z14" i="14"/>
  <c r="Z13" i="14"/>
  <c r="Z12" i="14"/>
  <c r="T16" i="14"/>
  <c r="T15" i="14"/>
  <c r="T14" i="14"/>
  <c r="T13" i="14"/>
  <c r="T12" i="14"/>
  <c r="Q16" i="14"/>
  <c r="Q15" i="14"/>
  <c r="Q14" i="14"/>
  <c r="Q13" i="14"/>
  <c r="Q12" i="14"/>
  <c r="H16" i="14"/>
  <c r="H15" i="14"/>
  <c r="H14" i="14"/>
  <c r="H13" i="14"/>
  <c r="H12" i="14"/>
  <c r="K16" i="14"/>
  <c r="K15" i="14"/>
  <c r="K14" i="14"/>
  <c r="K13" i="14"/>
  <c r="K12" i="14"/>
  <c r="E22" i="14"/>
  <c r="E48" i="14"/>
  <c r="E18" i="14"/>
  <c r="E2" i="14"/>
  <c r="AL16" i="12"/>
  <c r="AL15" i="12"/>
  <c r="AL14" i="12"/>
  <c r="AL13" i="12"/>
  <c r="AL12" i="12"/>
  <c r="AI16" i="12"/>
  <c r="AI15" i="12"/>
  <c r="AI14" i="12"/>
  <c r="AI13" i="12"/>
  <c r="AI12" i="12"/>
  <c r="AL16" i="11"/>
  <c r="AL15" i="11"/>
  <c r="AL14" i="11"/>
  <c r="AL13" i="11"/>
  <c r="AL12" i="11"/>
  <c r="AI16" i="11"/>
  <c r="AI15" i="11"/>
  <c r="AI14" i="11"/>
  <c r="AI13" i="11"/>
  <c r="AI12" i="11"/>
  <c r="AL16" i="10"/>
  <c r="AL15" i="10"/>
  <c r="AL14" i="10"/>
  <c r="AL13" i="10"/>
  <c r="AL12" i="10"/>
  <c r="AI16" i="10"/>
  <c r="AI15" i="10"/>
  <c r="AI14" i="10"/>
  <c r="AI13" i="10"/>
  <c r="AI12" i="10"/>
  <c r="AC16" i="12"/>
  <c r="AC15" i="12"/>
  <c r="AC14" i="12"/>
  <c r="AC13" i="12"/>
  <c r="AC12" i="12"/>
  <c r="Z16" i="12"/>
  <c r="Z15" i="12"/>
  <c r="Z14" i="12"/>
  <c r="Z13" i="12"/>
  <c r="Z12" i="12"/>
  <c r="AC16" i="11"/>
  <c r="AC15" i="11"/>
  <c r="AC14" i="11"/>
  <c r="AC13" i="11"/>
  <c r="AC12" i="11"/>
  <c r="Z16" i="11"/>
  <c r="Z15" i="11"/>
  <c r="Z14" i="11"/>
  <c r="Z13" i="11"/>
  <c r="Z12" i="11"/>
  <c r="AC16" i="10"/>
  <c r="AC15" i="10"/>
  <c r="AC14" i="10"/>
  <c r="AC13" i="10"/>
  <c r="AC12" i="10"/>
  <c r="Z16" i="10"/>
  <c r="Z15" i="10"/>
  <c r="Z14" i="10"/>
  <c r="Z13" i="10"/>
  <c r="Z12" i="10"/>
  <c r="AL16" i="9"/>
  <c r="AL15" i="9"/>
  <c r="AL14" i="9"/>
  <c r="AL13" i="9"/>
  <c r="AL12" i="9"/>
  <c r="AI16" i="9"/>
  <c r="AI15" i="9"/>
  <c r="AI14" i="9"/>
  <c r="AI13" i="9"/>
  <c r="AI12" i="9"/>
  <c r="AC16" i="9"/>
  <c r="AC15" i="9"/>
  <c r="AC14" i="9"/>
  <c r="AC13" i="9"/>
  <c r="AC12" i="9"/>
  <c r="Z16" i="9"/>
  <c r="Z15" i="9"/>
  <c r="Z14" i="9"/>
  <c r="Z13" i="9"/>
  <c r="Z12" i="9"/>
  <c r="Q13" i="9"/>
  <c r="T16" i="12"/>
  <c r="T15" i="12"/>
  <c r="T14" i="12"/>
  <c r="T13" i="12"/>
  <c r="T12" i="12"/>
  <c r="T16" i="11"/>
  <c r="T15" i="11"/>
  <c r="T14" i="11"/>
  <c r="T13" i="11"/>
  <c r="T12" i="11"/>
  <c r="T16" i="9"/>
  <c r="T15" i="9"/>
  <c r="T14" i="9"/>
  <c r="T13" i="9"/>
  <c r="T12" i="9"/>
  <c r="Q16" i="12"/>
  <c r="Q15" i="12"/>
  <c r="Q14" i="12"/>
  <c r="Q13" i="12"/>
  <c r="Q12" i="12"/>
  <c r="Q16" i="11"/>
  <c r="Q15" i="11"/>
  <c r="Q14" i="11"/>
  <c r="Q13" i="11"/>
  <c r="Q12" i="11"/>
  <c r="Q14" i="10"/>
  <c r="Q13" i="10"/>
  <c r="Q12" i="10"/>
  <c r="Q7" i="9"/>
  <c r="Q16" i="9"/>
  <c r="Q15" i="9"/>
  <c r="Q14" i="9"/>
  <c r="Q12" i="9"/>
  <c r="N3" i="12"/>
  <c r="E52" i="12"/>
  <c r="E50" i="12"/>
  <c r="E49" i="12"/>
  <c r="E48" i="12"/>
  <c r="E47" i="12"/>
  <c r="E46" i="12"/>
  <c r="AL45" i="12"/>
  <c r="AI45" i="12"/>
  <c r="AC45" i="12"/>
  <c r="Z45" i="12"/>
  <c r="T45" i="12"/>
  <c r="Q45" i="12"/>
  <c r="K45" i="12"/>
  <c r="H45" i="12"/>
  <c r="E45" i="12"/>
  <c r="AL44" i="12"/>
  <c r="AI44" i="12"/>
  <c r="AC44" i="12"/>
  <c r="Z44" i="12"/>
  <c r="T44" i="12"/>
  <c r="Q44" i="12"/>
  <c r="K44" i="12"/>
  <c r="H44" i="12"/>
  <c r="E44" i="12"/>
  <c r="AL43" i="12"/>
  <c r="AI43" i="12"/>
  <c r="AC43" i="12"/>
  <c r="Z43" i="12"/>
  <c r="T43" i="12"/>
  <c r="Q43" i="12"/>
  <c r="K43" i="12"/>
  <c r="H43" i="12"/>
  <c r="E43" i="12"/>
  <c r="AF42" i="12"/>
  <c r="W42" i="12"/>
  <c r="N42" i="12"/>
  <c r="E42" i="12"/>
  <c r="AL41" i="12"/>
  <c r="AC41" i="12"/>
  <c r="T41" i="12"/>
  <c r="K41" i="12"/>
  <c r="E41" i="12"/>
  <c r="AL40" i="12"/>
  <c r="AF40" i="12"/>
  <c r="AC40" i="12"/>
  <c r="W40" i="12"/>
  <c r="T40" i="12"/>
  <c r="N40" i="12"/>
  <c r="K40" i="12"/>
  <c r="E40" i="12"/>
  <c r="AL39" i="12"/>
  <c r="AF39" i="12"/>
  <c r="AC39" i="12"/>
  <c r="W39" i="12"/>
  <c r="T39" i="12"/>
  <c r="N39" i="12"/>
  <c r="K39" i="12"/>
  <c r="E39" i="12"/>
  <c r="AL38" i="12"/>
  <c r="AF38" i="12"/>
  <c r="AF18" i="12" s="1"/>
  <c r="AF2" i="12" s="1"/>
  <c r="AC38" i="12"/>
  <c r="W38" i="12"/>
  <c r="W18" i="12" s="1"/>
  <c r="W2" i="12" s="1"/>
  <c r="T38" i="12"/>
  <c r="N38" i="12"/>
  <c r="K38" i="12"/>
  <c r="E38" i="12"/>
  <c r="E9" i="12"/>
  <c r="E12" i="12"/>
  <c r="AL37" i="12"/>
  <c r="AI37" i="12"/>
  <c r="AF37" i="12"/>
  <c r="AC37" i="12"/>
  <c r="Z37" i="12"/>
  <c r="W37" i="12"/>
  <c r="T37" i="12"/>
  <c r="Q37" i="12"/>
  <c r="N37" i="12"/>
  <c r="K37" i="12"/>
  <c r="H37" i="12"/>
  <c r="E37" i="12"/>
  <c r="AF36" i="12"/>
  <c r="W36" i="12"/>
  <c r="N36" i="12"/>
  <c r="K36" i="12"/>
  <c r="H36" i="12"/>
  <c r="E36" i="12"/>
  <c r="AL35" i="12"/>
  <c r="AI35" i="12"/>
  <c r="AF35" i="12"/>
  <c r="AC35" i="12"/>
  <c r="Z35" i="12"/>
  <c r="W35" i="12"/>
  <c r="T35" i="12"/>
  <c r="Q35" i="12"/>
  <c r="N35" i="12"/>
  <c r="K35" i="12"/>
  <c r="H35" i="12"/>
  <c r="E35" i="12"/>
  <c r="AL34" i="12"/>
  <c r="AI34" i="12"/>
  <c r="AF34" i="12"/>
  <c r="AC34" i="12"/>
  <c r="Z34" i="12"/>
  <c r="W34" i="12"/>
  <c r="T34" i="12"/>
  <c r="Q34" i="12"/>
  <c r="N34" i="12"/>
  <c r="K34" i="12"/>
  <c r="H34" i="12"/>
  <c r="E34" i="12"/>
  <c r="AL33" i="12"/>
  <c r="AI33" i="12"/>
  <c r="AF33" i="12"/>
  <c r="AC33" i="12"/>
  <c r="Z33" i="12"/>
  <c r="W33" i="12"/>
  <c r="T33" i="12"/>
  <c r="Q33" i="12"/>
  <c r="N33" i="12"/>
  <c r="K33" i="12"/>
  <c r="H33" i="12"/>
  <c r="E33" i="12"/>
  <c r="AL32" i="12"/>
  <c r="AI32" i="12"/>
  <c r="AF32" i="12"/>
  <c r="AC32" i="12"/>
  <c r="Z32" i="12"/>
  <c r="W32" i="12"/>
  <c r="T32" i="12"/>
  <c r="Q32" i="12"/>
  <c r="N32" i="12"/>
  <c r="K32" i="12"/>
  <c r="H32" i="12"/>
  <c r="E32" i="12"/>
  <c r="AF31" i="12"/>
  <c r="W31" i="12"/>
  <c r="N31" i="12"/>
  <c r="E31" i="12"/>
  <c r="AL30" i="12"/>
  <c r="AI30" i="12"/>
  <c r="AF30" i="12"/>
  <c r="AF9" i="12"/>
  <c r="AF12" i="12"/>
  <c r="AC30" i="12"/>
  <c r="Z30" i="12"/>
  <c r="W30" i="12"/>
  <c r="T30" i="12"/>
  <c r="Q30" i="12"/>
  <c r="N30" i="12"/>
  <c r="K30" i="12"/>
  <c r="H30" i="12"/>
  <c r="E30" i="12"/>
  <c r="AF29" i="12"/>
  <c r="N29" i="12"/>
  <c r="K29" i="12"/>
  <c r="H29" i="12"/>
  <c r="E29" i="12"/>
  <c r="AL28" i="12"/>
  <c r="AL18" i="12"/>
  <c r="AI28" i="12"/>
  <c r="AI18" i="12"/>
  <c r="AF28" i="12"/>
  <c r="AC28" i="12"/>
  <c r="Z28" i="12"/>
  <c r="W28" i="12"/>
  <c r="T28" i="12"/>
  <c r="T18" i="12"/>
  <c r="T5" i="12"/>
  <c r="Q28" i="12"/>
  <c r="Q18" i="12"/>
  <c r="N28" i="12"/>
  <c r="K28" i="12"/>
  <c r="K18" i="12"/>
  <c r="H28" i="12"/>
  <c r="E28" i="12"/>
  <c r="AL27" i="12"/>
  <c r="AI27" i="12"/>
  <c r="AF27" i="12"/>
  <c r="AC27" i="12"/>
  <c r="Z27" i="12"/>
  <c r="W27" i="12"/>
  <c r="T27" i="12"/>
  <c r="Q27" i="12"/>
  <c r="N27" i="12"/>
  <c r="K27" i="12"/>
  <c r="H27" i="12"/>
  <c r="E27" i="12"/>
  <c r="AL26" i="12"/>
  <c r="AI26" i="12"/>
  <c r="AF26" i="12"/>
  <c r="AC26" i="12"/>
  <c r="Z26" i="12"/>
  <c r="W26" i="12"/>
  <c r="T26" i="12"/>
  <c r="Q26" i="12"/>
  <c r="N26" i="12"/>
  <c r="K26" i="12"/>
  <c r="H26" i="12"/>
  <c r="E26" i="12"/>
  <c r="AL25" i="12"/>
  <c r="AI25" i="12"/>
  <c r="AF25" i="12"/>
  <c r="AC25" i="12"/>
  <c r="Z25" i="12"/>
  <c r="W25" i="12"/>
  <c r="T25" i="12"/>
  <c r="Q25" i="12"/>
  <c r="N25" i="12"/>
  <c r="K25" i="12"/>
  <c r="H25" i="12"/>
  <c r="E25" i="12"/>
  <c r="AL24" i="12"/>
  <c r="AI24" i="12"/>
  <c r="AF24" i="12"/>
  <c r="AC24" i="12"/>
  <c r="Z24" i="12"/>
  <c r="W24" i="12"/>
  <c r="T24" i="12"/>
  <c r="Q24" i="12"/>
  <c r="N24" i="12"/>
  <c r="K24" i="12"/>
  <c r="H24" i="12"/>
  <c r="E24" i="12"/>
  <c r="AL23" i="12"/>
  <c r="AI23" i="12"/>
  <c r="AF23" i="12"/>
  <c r="AF22" i="12"/>
  <c r="AC23" i="12"/>
  <c r="Z23" i="12"/>
  <c r="W23" i="12"/>
  <c r="W22" i="12"/>
  <c r="T23" i="12"/>
  <c r="Q23" i="12"/>
  <c r="N23" i="12"/>
  <c r="K23" i="12"/>
  <c r="H23" i="12"/>
  <c r="E23" i="12"/>
  <c r="AL22" i="12"/>
  <c r="AI22" i="12"/>
  <c r="AC22" i="12"/>
  <c r="Z22" i="12"/>
  <c r="T22" i="12"/>
  <c r="Q22" i="12"/>
  <c r="N22" i="12"/>
  <c r="K22" i="12"/>
  <c r="H22" i="12"/>
  <c r="AL21" i="12"/>
  <c r="AI21" i="12"/>
  <c r="AC21" i="12"/>
  <c r="AC19" i="12"/>
  <c r="AC20" i="12"/>
  <c r="AC4" i="12"/>
  <c r="Z21" i="12"/>
  <c r="Z19" i="12"/>
  <c r="Z20" i="12"/>
  <c r="Z4" i="12"/>
  <c r="T21" i="12"/>
  <c r="T19" i="12"/>
  <c r="T20" i="12"/>
  <c r="Q21" i="12"/>
  <c r="Q19" i="12"/>
  <c r="K21" i="12"/>
  <c r="H21" i="12"/>
  <c r="H19" i="12"/>
  <c r="H20" i="12"/>
  <c r="AL19" i="12"/>
  <c r="AL20" i="12"/>
  <c r="AI19" i="12"/>
  <c r="AI20" i="12"/>
  <c r="K19" i="12"/>
  <c r="K20" i="12"/>
  <c r="AC18" i="12"/>
  <c r="Z18" i="12"/>
  <c r="H18" i="12"/>
  <c r="H5" i="12"/>
  <c r="AL17" i="12"/>
  <c r="AI17" i="12"/>
  <c r="AC17" i="12"/>
  <c r="Z17" i="12"/>
  <c r="T17" i="12"/>
  <c r="Q17" i="12"/>
  <c r="K17" i="12"/>
  <c r="H17" i="12"/>
  <c r="AF16" i="12"/>
  <c r="W16" i="12"/>
  <c r="N16" i="12"/>
  <c r="E16" i="12"/>
  <c r="AF15" i="12"/>
  <c r="W15" i="12"/>
  <c r="N15" i="12"/>
  <c r="E15" i="12"/>
  <c r="AF14" i="12"/>
  <c r="W14" i="12"/>
  <c r="N14" i="12"/>
  <c r="E14" i="12"/>
  <c r="AF13" i="12"/>
  <c r="W13" i="12"/>
  <c r="N13" i="12"/>
  <c r="E13" i="12"/>
  <c r="W12" i="12"/>
  <c r="W20" i="12"/>
  <c r="AF11" i="12"/>
  <c r="W11" i="12"/>
  <c r="N11" i="12"/>
  <c r="N12" i="12"/>
  <c r="E11" i="12"/>
  <c r="AF10" i="12"/>
  <c r="W10" i="12"/>
  <c r="N10" i="12"/>
  <c r="E10" i="12"/>
  <c r="W9" i="12"/>
  <c r="N9" i="12"/>
  <c r="N19" i="12"/>
  <c r="AF8" i="12"/>
  <c r="AF19" i="12"/>
  <c r="W8" i="12"/>
  <c r="N8" i="12"/>
  <c r="E8" i="12"/>
  <c r="H6" i="12"/>
  <c r="AI5" i="12"/>
  <c r="AI10" i="12"/>
  <c r="K3" i="12"/>
  <c r="K8" i="12"/>
  <c r="H2" i="12"/>
  <c r="E52" i="11"/>
  <c r="E50" i="11"/>
  <c r="E49" i="11"/>
  <c r="E48" i="11"/>
  <c r="E47" i="11"/>
  <c r="E46" i="11"/>
  <c r="AL45" i="11"/>
  <c r="AI45" i="11"/>
  <c r="AC45" i="11"/>
  <c r="Z45" i="11"/>
  <c r="T45" i="11"/>
  <c r="Q45" i="11"/>
  <c r="K45" i="11"/>
  <c r="H45" i="11"/>
  <c r="E45" i="11"/>
  <c r="AL44" i="11"/>
  <c r="AI44" i="11"/>
  <c r="AC44" i="11"/>
  <c r="Z44" i="11"/>
  <c r="T44" i="11"/>
  <c r="Q44" i="11"/>
  <c r="K44" i="11"/>
  <c r="H44" i="11"/>
  <c r="E44" i="11"/>
  <c r="AL43" i="11"/>
  <c r="AI43" i="11"/>
  <c r="AC43" i="11"/>
  <c r="Z43" i="11"/>
  <c r="T43" i="11"/>
  <c r="Q43" i="11"/>
  <c r="K43" i="11"/>
  <c r="H43" i="11"/>
  <c r="E43" i="11"/>
  <c r="AF42" i="11"/>
  <c r="W42" i="11"/>
  <c r="N42" i="11"/>
  <c r="E42" i="11"/>
  <c r="AL41" i="11"/>
  <c r="AC41" i="11"/>
  <c r="T41" i="11"/>
  <c r="K41" i="11"/>
  <c r="E41" i="11"/>
  <c r="AL40" i="11"/>
  <c r="AF40" i="11"/>
  <c r="AC40" i="11"/>
  <c r="W40" i="11"/>
  <c r="T40" i="11"/>
  <c r="N40" i="11"/>
  <c r="K40" i="11"/>
  <c r="E40" i="11"/>
  <c r="AL39" i="11"/>
  <c r="AF39" i="11"/>
  <c r="AC39" i="11"/>
  <c r="W39" i="11"/>
  <c r="T39" i="11"/>
  <c r="N39" i="11"/>
  <c r="K39" i="11"/>
  <c r="E39" i="11"/>
  <c r="AL38" i="11"/>
  <c r="AF38" i="11"/>
  <c r="AC38" i="11"/>
  <c r="W38" i="11"/>
  <c r="T38" i="11"/>
  <c r="N38" i="11"/>
  <c r="K38" i="11"/>
  <c r="E38" i="11"/>
  <c r="E9" i="11"/>
  <c r="E12" i="11"/>
  <c r="AL37" i="11"/>
  <c r="AI37" i="11"/>
  <c r="AF37" i="11"/>
  <c r="AC37" i="11"/>
  <c r="Z37" i="11"/>
  <c r="W37" i="11"/>
  <c r="T37" i="11"/>
  <c r="Q37" i="11"/>
  <c r="N37" i="11"/>
  <c r="K37" i="11"/>
  <c r="H37" i="11"/>
  <c r="E37" i="11"/>
  <c r="AF36" i="11"/>
  <c r="W36" i="11"/>
  <c r="N36" i="11"/>
  <c r="K36" i="11"/>
  <c r="H36" i="11"/>
  <c r="E36" i="11"/>
  <c r="AL35" i="11"/>
  <c r="AI35" i="11"/>
  <c r="AF35" i="11"/>
  <c r="AC35" i="11"/>
  <c r="Z35" i="11"/>
  <c r="W35" i="11"/>
  <c r="T35" i="11"/>
  <c r="Q35" i="11"/>
  <c r="N35" i="11"/>
  <c r="K35" i="11"/>
  <c r="H35" i="11"/>
  <c r="E35" i="11"/>
  <c r="AL34" i="11"/>
  <c r="AI34" i="11"/>
  <c r="AF34" i="11"/>
  <c r="AC34" i="11"/>
  <c r="Z34" i="11"/>
  <c r="W34" i="11"/>
  <c r="T34" i="11"/>
  <c r="Q34" i="11"/>
  <c r="N34" i="11"/>
  <c r="K34" i="11"/>
  <c r="H34" i="11"/>
  <c r="E34" i="11"/>
  <c r="AL33" i="11"/>
  <c r="AI33" i="11"/>
  <c r="AF33" i="11"/>
  <c r="AC33" i="11"/>
  <c r="Z33" i="11"/>
  <c r="W33" i="11"/>
  <c r="T33" i="11"/>
  <c r="Q33" i="11"/>
  <c r="N33" i="11"/>
  <c r="K33" i="11"/>
  <c r="H33" i="11"/>
  <c r="E33" i="11"/>
  <c r="AL32" i="11"/>
  <c r="AI32" i="11"/>
  <c r="AF32" i="11"/>
  <c r="AC32" i="11"/>
  <c r="Z32" i="11"/>
  <c r="W32" i="11"/>
  <c r="T32" i="11"/>
  <c r="Q32" i="11"/>
  <c r="N32" i="11"/>
  <c r="K32" i="11"/>
  <c r="H32" i="11"/>
  <c r="E32" i="11"/>
  <c r="AF31" i="11"/>
  <c r="W31" i="11"/>
  <c r="N31" i="11"/>
  <c r="E31" i="11"/>
  <c r="AL30" i="11"/>
  <c r="AI30" i="11"/>
  <c r="AF30" i="11"/>
  <c r="AF9" i="11"/>
  <c r="AF12" i="11"/>
  <c r="AC30" i="11"/>
  <c r="Z30" i="11"/>
  <c r="W30" i="11"/>
  <c r="T30" i="11"/>
  <c r="Q30" i="11"/>
  <c r="N30" i="11"/>
  <c r="K30" i="11"/>
  <c r="H30" i="11"/>
  <c r="E30" i="11"/>
  <c r="AF29" i="11"/>
  <c r="N29" i="11"/>
  <c r="K29" i="11"/>
  <c r="H29" i="11"/>
  <c r="E29" i="11"/>
  <c r="AL28" i="11"/>
  <c r="AL18" i="11"/>
  <c r="AI28" i="11"/>
  <c r="AI18" i="11"/>
  <c r="AF28" i="11"/>
  <c r="AC28" i="11"/>
  <c r="Z28" i="11"/>
  <c r="W28" i="11"/>
  <c r="T28" i="11"/>
  <c r="T18" i="11"/>
  <c r="Q28" i="11"/>
  <c r="Q18" i="11"/>
  <c r="N28" i="11"/>
  <c r="K28" i="11"/>
  <c r="K18" i="11"/>
  <c r="K5" i="11"/>
  <c r="H28" i="11"/>
  <c r="E28" i="11"/>
  <c r="AL27" i="11"/>
  <c r="AI27" i="11"/>
  <c r="AF27" i="11"/>
  <c r="AC27" i="11"/>
  <c r="Z27" i="11"/>
  <c r="W27" i="11"/>
  <c r="T27" i="11"/>
  <c r="Q27" i="11"/>
  <c r="N27" i="11"/>
  <c r="K27" i="11"/>
  <c r="H27" i="11"/>
  <c r="E27" i="11"/>
  <c r="E22" i="11"/>
  <c r="AL26" i="11"/>
  <c r="AI26" i="11"/>
  <c r="AF26" i="11"/>
  <c r="AC26" i="11"/>
  <c r="Z26" i="11"/>
  <c r="W26" i="11"/>
  <c r="T26" i="11"/>
  <c r="Q26" i="11"/>
  <c r="N26" i="11"/>
  <c r="K26" i="11"/>
  <c r="H26" i="11"/>
  <c r="E26" i="11"/>
  <c r="AL25" i="11"/>
  <c r="AI25" i="11"/>
  <c r="AF25" i="11"/>
  <c r="AC25" i="11"/>
  <c r="Z25" i="11"/>
  <c r="W25" i="11"/>
  <c r="T25" i="11"/>
  <c r="Q25" i="11"/>
  <c r="N25" i="11"/>
  <c r="K25" i="11"/>
  <c r="H25" i="11"/>
  <c r="E25" i="11"/>
  <c r="AL24" i="11"/>
  <c r="AI24" i="11"/>
  <c r="AF24" i="11"/>
  <c r="AC24" i="11"/>
  <c r="Z24" i="11"/>
  <c r="W24" i="11"/>
  <c r="T24" i="11"/>
  <c r="Q24" i="11"/>
  <c r="N24" i="11"/>
  <c r="K24" i="11"/>
  <c r="H24" i="11"/>
  <c r="E24" i="11"/>
  <c r="AL23" i="11"/>
  <c r="AI23" i="11"/>
  <c r="AF23" i="11"/>
  <c r="AF22" i="11"/>
  <c r="AC23" i="11"/>
  <c r="Z23" i="11"/>
  <c r="W23" i="11"/>
  <c r="W22" i="11"/>
  <c r="T23" i="11"/>
  <c r="Q23" i="11"/>
  <c r="N23" i="11"/>
  <c r="K23" i="11"/>
  <c r="H23" i="11"/>
  <c r="E23" i="11"/>
  <c r="AL22" i="11"/>
  <c r="AI22" i="11"/>
  <c r="AC22" i="11"/>
  <c r="Z22" i="11"/>
  <c r="T22" i="11"/>
  <c r="Q22" i="11"/>
  <c r="N22" i="11"/>
  <c r="K22" i="11"/>
  <c r="H22" i="11"/>
  <c r="AL21" i="11"/>
  <c r="AI21" i="11"/>
  <c r="AC21" i="11"/>
  <c r="AC19" i="11"/>
  <c r="Z21" i="11"/>
  <c r="Z19" i="11"/>
  <c r="Z20" i="11"/>
  <c r="T21" i="11"/>
  <c r="T19" i="11"/>
  <c r="Q21" i="11"/>
  <c r="Q19" i="11"/>
  <c r="Q20" i="11"/>
  <c r="K21" i="11"/>
  <c r="H21" i="11"/>
  <c r="H19" i="11"/>
  <c r="AL19" i="11"/>
  <c r="AL20" i="11"/>
  <c r="AI19" i="11"/>
  <c r="AI20" i="11"/>
  <c r="K19" i="11"/>
  <c r="K20" i="11"/>
  <c r="AC18" i="11"/>
  <c r="Z18" i="11"/>
  <c r="Z5" i="11"/>
  <c r="H18" i="11"/>
  <c r="AL17" i="11"/>
  <c r="AI17" i="11"/>
  <c r="AC17" i="11"/>
  <c r="Z17" i="11"/>
  <c r="T17" i="11"/>
  <c r="Q17" i="11"/>
  <c r="Q6" i="11"/>
  <c r="K17" i="11"/>
  <c r="H17" i="11"/>
  <c r="AF16" i="11"/>
  <c r="W16" i="11"/>
  <c r="N16" i="11"/>
  <c r="E16" i="11"/>
  <c r="AF15" i="11"/>
  <c r="W15" i="11"/>
  <c r="N15" i="11"/>
  <c r="E15" i="11"/>
  <c r="AF14" i="11"/>
  <c r="W14" i="11"/>
  <c r="N14" i="11"/>
  <c r="E14" i="11"/>
  <c r="AF13" i="11"/>
  <c r="W13" i="11"/>
  <c r="N13" i="11"/>
  <c r="E13" i="11"/>
  <c r="W12" i="11"/>
  <c r="AF11" i="11"/>
  <c r="W11" i="11"/>
  <c r="N11" i="11"/>
  <c r="N12" i="11"/>
  <c r="E11" i="11"/>
  <c r="AF10" i="11"/>
  <c r="W10" i="11"/>
  <c r="N10" i="11"/>
  <c r="E10" i="11"/>
  <c r="W9" i="11"/>
  <c r="N9" i="11"/>
  <c r="AF8" i="11"/>
  <c r="AF19" i="11"/>
  <c r="W8" i="11"/>
  <c r="N8" i="11"/>
  <c r="N18" i="11"/>
  <c r="N2" i="11" s="1"/>
  <c r="E8" i="11"/>
  <c r="E19" i="11"/>
  <c r="G52" i="11"/>
  <c r="AL5" i="11"/>
  <c r="AI5" i="11"/>
  <c r="AI10" i="11"/>
  <c r="AL3" i="11"/>
  <c r="AL8" i="11"/>
  <c r="AI3" i="11"/>
  <c r="AI8" i="11"/>
  <c r="K3" i="11"/>
  <c r="K8" i="11"/>
  <c r="Z2" i="11"/>
  <c r="Z7" i="11"/>
  <c r="E52" i="10"/>
  <c r="E50" i="10"/>
  <c r="E49" i="10"/>
  <c r="E48" i="10"/>
  <c r="E47" i="10"/>
  <c r="E46" i="10"/>
  <c r="AL45" i="10"/>
  <c r="AI45" i="10"/>
  <c r="AC45" i="10"/>
  <c r="Z45" i="10"/>
  <c r="T45" i="10"/>
  <c r="Q45" i="10"/>
  <c r="K45" i="10"/>
  <c r="H45" i="10"/>
  <c r="E45" i="10"/>
  <c r="AL44" i="10"/>
  <c r="AI44" i="10"/>
  <c r="AC44" i="10"/>
  <c r="Z44" i="10"/>
  <c r="T44" i="10"/>
  <c r="Q44" i="10"/>
  <c r="K44" i="10"/>
  <c r="H44" i="10"/>
  <c r="E44" i="10"/>
  <c r="AL43" i="10"/>
  <c r="AI43" i="10"/>
  <c r="AC43" i="10"/>
  <c r="Z43" i="10"/>
  <c r="T43" i="10"/>
  <c r="T16" i="10"/>
  <c r="Q43" i="10"/>
  <c r="Q15" i="10"/>
  <c r="K43" i="10"/>
  <c r="H43" i="10"/>
  <c r="H12" i="10"/>
  <c r="E43" i="10"/>
  <c r="AF42" i="10"/>
  <c r="W42" i="10"/>
  <c r="N42" i="10"/>
  <c r="E42" i="10"/>
  <c r="AL41" i="10"/>
  <c r="AC41" i="10"/>
  <c r="T41" i="10"/>
  <c r="K41" i="10"/>
  <c r="E41" i="10"/>
  <c r="AL40" i="10"/>
  <c r="AF40" i="10"/>
  <c r="AC40" i="10"/>
  <c r="W40" i="10"/>
  <c r="T40" i="10"/>
  <c r="N40" i="10"/>
  <c r="K40" i="10"/>
  <c r="E40" i="10"/>
  <c r="AL39" i="10"/>
  <c r="AF39" i="10"/>
  <c r="AC39" i="10"/>
  <c r="W39" i="10"/>
  <c r="T39" i="10"/>
  <c r="N39" i="10"/>
  <c r="K39" i="10"/>
  <c r="E39" i="10"/>
  <c r="AL38" i="10"/>
  <c r="AF38" i="10"/>
  <c r="AF18" i="10" s="1"/>
  <c r="AF2" i="10" s="1"/>
  <c r="AC38" i="10"/>
  <c r="W38" i="10"/>
  <c r="W18" i="10" s="1"/>
  <c r="W2" i="10" s="1"/>
  <c r="T38" i="10"/>
  <c r="N38" i="10"/>
  <c r="K38" i="10"/>
  <c r="E38" i="10"/>
  <c r="E9" i="10"/>
  <c r="E12" i="10"/>
  <c r="AL37" i="10"/>
  <c r="AI37" i="10"/>
  <c r="AF37" i="10"/>
  <c r="AC37" i="10"/>
  <c r="Z37" i="10"/>
  <c r="W37" i="10"/>
  <c r="T37" i="10"/>
  <c r="Q37" i="10"/>
  <c r="N37" i="10"/>
  <c r="K37" i="10"/>
  <c r="H37" i="10"/>
  <c r="E37" i="10"/>
  <c r="AF36" i="10"/>
  <c r="W36" i="10"/>
  <c r="N36" i="10"/>
  <c r="K36" i="10"/>
  <c r="H36" i="10"/>
  <c r="E36" i="10"/>
  <c r="AL35" i="10"/>
  <c r="AI35" i="10"/>
  <c r="AF35" i="10"/>
  <c r="AC35" i="10"/>
  <c r="Z35" i="10"/>
  <c r="W35" i="10"/>
  <c r="T35" i="10"/>
  <c r="Q35" i="10"/>
  <c r="N35" i="10"/>
  <c r="K35" i="10"/>
  <c r="H35" i="10"/>
  <c r="E35" i="10"/>
  <c r="AL34" i="10"/>
  <c r="AI34" i="10"/>
  <c r="AF34" i="10"/>
  <c r="AC34" i="10"/>
  <c r="Z34" i="10"/>
  <c r="W34" i="10"/>
  <c r="T34" i="10"/>
  <c r="Q34" i="10"/>
  <c r="N34" i="10"/>
  <c r="K34" i="10"/>
  <c r="H34" i="10"/>
  <c r="E34" i="10"/>
  <c r="AL33" i="10"/>
  <c r="AI33" i="10"/>
  <c r="AF33" i="10"/>
  <c r="AC33" i="10"/>
  <c r="Z33" i="10"/>
  <c r="W33" i="10"/>
  <c r="T33" i="10"/>
  <c r="Q33" i="10"/>
  <c r="N33" i="10"/>
  <c r="K33" i="10"/>
  <c r="H33" i="10"/>
  <c r="E33" i="10"/>
  <c r="AL32" i="10"/>
  <c r="AI32" i="10"/>
  <c r="AF32" i="10"/>
  <c r="AC32" i="10"/>
  <c r="Z32" i="10"/>
  <c r="W32" i="10"/>
  <c r="T32" i="10"/>
  <c r="Q32" i="10"/>
  <c r="N32" i="10"/>
  <c r="K32" i="10"/>
  <c r="H32" i="10"/>
  <c r="E32" i="10"/>
  <c r="AF31" i="10"/>
  <c r="W31" i="10"/>
  <c r="N31" i="10"/>
  <c r="E31" i="10"/>
  <c r="E23" i="10"/>
  <c r="AL30" i="10"/>
  <c r="AI30" i="10"/>
  <c r="AF30" i="10"/>
  <c r="AF9" i="10"/>
  <c r="AF12" i="10"/>
  <c r="AC30" i="10"/>
  <c r="Z30" i="10"/>
  <c r="W30" i="10"/>
  <c r="T30" i="10"/>
  <c r="Q30" i="10"/>
  <c r="N30" i="10"/>
  <c r="K30" i="10"/>
  <c r="H30" i="10"/>
  <c r="E30" i="10"/>
  <c r="AF29" i="10"/>
  <c r="N29" i="10"/>
  <c r="K29" i="10"/>
  <c r="H29" i="10"/>
  <c r="E29" i="10"/>
  <c r="AL28" i="10"/>
  <c r="AL18" i="10"/>
  <c r="AI28" i="10"/>
  <c r="AI18" i="10"/>
  <c r="AF28" i="10"/>
  <c r="AC28" i="10"/>
  <c r="Z28" i="10"/>
  <c r="W28" i="10"/>
  <c r="T28" i="10"/>
  <c r="T18" i="10"/>
  <c r="Q28" i="10"/>
  <c r="Q18" i="10"/>
  <c r="N28" i="10"/>
  <c r="K28" i="10"/>
  <c r="K18" i="10"/>
  <c r="H28" i="10"/>
  <c r="E28" i="10"/>
  <c r="AL27" i="10"/>
  <c r="AI27" i="10"/>
  <c r="AF27" i="10"/>
  <c r="AC27" i="10"/>
  <c r="Z27" i="10"/>
  <c r="W27" i="10"/>
  <c r="T27" i="10"/>
  <c r="Q27" i="10"/>
  <c r="N27" i="10"/>
  <c r="K27" i="10"/>
  <c r="H27" i="10"/>
  <c r="E27" i="10"/>
  <c r="E22" i="10"/>
  <c r="AL26" i="10"/>
  <c r="AI26" i="10"/>
  <c r="AF26" i="10"/>
  <c r="AC26" i="10"/>
  <c r="Z26" i="10"/>
  <c r="W26" i="10"/>
  <c r="T26" i="10"/>
  <c r="Q26" i="10"/>
  <c r="N26" i="10"/>
  <c r="K26" i="10"/>
  <c r="H26" i="10"/>
  <c r="E26" i="10"/>
  <c r="AL25" i="10"/>
  <c r="AI25" i="10"/>
  <c r="AF25" i="10"/>
  <c r="AC25" i="10"/>
  <c r="Z25" i="10"/>
  <c r="W25" i="10"/>
  <c r="T25" i="10"/>
  <c r="Q25" i="10"/>
  <c r="N25" i="10"/>
  <c r="K25" i="10"/>
  <c r="H25" i="10"/>
  <c r="E25" i="10"/>
  <c r="AL24" i="10"/>
  <c r="AI24" i="10"/>
  <c r="AF24" i="10"/>
  <c r="AC24" i="10"/>
  <c r="Z24" i="10"/>
  <c r="W24" i="10"/>
  <c r="T24" i="10"/>
  <c r="Q24" i="10"/>
  <c r="N24" i="10"/>
  <c r="K24" i="10"/>
  <c r="H24" i="10"/>
  <c r="E24" i="10"/>
  <c r="AL23" i="10"/>
  <c r="AI23" i="10"/>
  <c r="AF23" i="10"/>
  <c r="AF22" i="10"/>
  <c r="AC23" i="10"/>
  <c r="Z23" i="10"/>
  <c r="W23" i="10"/>
  <c r="W22" i="10"/>
  <c r="T23" i="10"/>
  <c r="Q23" i="10"/>
  <c r="N23" i="10"/>
  <c r="K23" i="10"/>
  <c r="H23" i="10"/>
  <c r="AL22" i="10"/>
  <c r="AI22" i="10"/>
  <c r="AC22" i="10"/>
  <c r="Z22" i="10"/>
  <c r="T22" i="10"/>
  <c r="Q22" i="10"/>
  <c r="N22" i="10"/>
  <c r="K22" i="10"/>
  <c r="H22" i="10"/>
  <c r="AL21" i="10"/>
  <c r="AI21" i="10"/>
  <c r="AC21" i="10"/>
  <c r="AC19" i="10"/>
  <c r="Z21" i="10"/>
  <c r="Z19" i="10"/>
  <c r="T21" i="10"/>
  <c r="Q21" i="10"/>
  <c r="Q19" i="10"/>
  <c r="Q20" i="10"/>
  <c r="K21" i="10"/>
  <c r="H21" i="10"/>
  <c r="H19" i="10"/>
  <c r="AL19" i="10"/>
  <c r="AL20" i="10"/>
  <c r="AI19" i="10"/>
  <c r="AI20" i="10"/>
  <c r="T19" i="10"/>
  <c r="K19" i="10"/>
  <c r="AC18" i="10"/>
  <c r="Z18" i="10"/>
  <c r="H18" i="10"/>
  <c r="AL17" i="10"/>
  <c r="AI17" i="10"/>
  <c r="AC17" i="10"/>
  <c r="Z17" i="10"/>
  <c r="T17" i="10"/>
  <c r="Q17" i="10"/>
  <c r="K17" i="10"/>
  <c r="H17" i="10"/>
  <c r="AF16" i="10"/>
  <c r="W16" i="10"/>
  <c r="N16" i="10"/>
  <c r="E16" i="10"/>
  <c r="AF15" i="10"/>
  <c r="W15" i="10"/>
  <c r="N15" i="10"/>
  <c r="E15" i="10"/>
  <c r="AF14" i="10"/>
  <c r="W14" i="10"/>
  <c r="N14" i="10"/>
  <c r="E14" i="10"/>
  <c r="AF13" i="10"/>
  <c r="W13" i="10"/>
  <c r="N13" i="10"/>
  <c r="E13" i="10"/>
  <c r="W12" i="10"/>
  <c r="AF11" i="10"/>
  <c r="W11" i="10"/>
  <c r="N11" i="10"/>
  <c r="N12" i="10"/>
  <c r="E11" i="10"/>
  <c r="AF10" i="10"/>
  <c r="W10" i="10"/>
  <c r="N10" i="10"/>
  <c r="E10" i="10"/>
  <c r="W9" i="10"/>
  <c r="N9" i="10"/>
  <c r="N19" i="10"/>
  <c r="AF8" i="10"/>
  <c r="AF19" i="10"/>
  <c r="W8" i="10"/>
  <c r="W19" i="10"/>
  <c r="N8" i="10"/>
  <c r="E8" i="10"/>
  <c r="K19" i="18"/>
  <c r="H19" i="18"/>
  <c r="H37" i="18"/>
  <c r="H27" i="18"/>
  <c r="H22" i="18"/>
  <c r="H17" i="18"/>
  <c r="E46" i="19"/>
  <c r="E20" i="19"/>
  <c r="E5" i="9"/>
  <c r="G53" i="9"/>
  <c r="G52" i="9"/>
  <c r="G50" i="9"/>
  <c r="E7" i="9"/>
  <c r="H12" i="9"/>
  <c r="K16" i="9"/>
  <c r="K15" i="9"/>
  <c r="K14" i="9"/>
  <c r="K13" i="9"/>
  <c r="K12" i="9"/>
  <c r="E17" i="9"/>
  <c r="H16" i="9"/>
  <c r="H15" i="9"/>
  <c r="H14" i="9"/>
  <c r="H13" i="9"/>
  <c r="H7" i="9"/>
  <c r="AL6" i="14"/>
  <c r="AL5" i="14"/>
  <c r="AL4" i="14"/>
  <c r="AL3" i="14"/>
  <c r="AL2" i="14"/>
  <c r="AF38" i="14"/>
  <c r="AF18" i="14" s="1"/>
  <c r="AF2" i="14" s="1"/>
  <c r="AF20" i="14"/>
  <c r="AF19" i="14"/>
  <c r="AF17" i="14"/>
  <c r="W17" i="14"/>
  <c r="W29" i="14"/>
  <c r="W18" i="14"/>
  <c r="W15" i="14"/>
  <c r="W20" i="14"/>
  <c r="W19" i="14"/>
  <c r="AC6" i="14"/>
  <c r="AC5" i="14"/>
  <c r="AC4" i="14"/>
  <c r="AC3" i="14"/>
  <c r="AC2" i="14"/>
  <c r="N17" i="14"/>
  <c r="T6" i="14"/>
  <c r="T5" i="14"/>
  <c r="T4" i="14"/>
  <c r="T3" i="14"/>
  <c r="T2" i="14"/>
  <c r="T35" i="14"/>
  <c r="T34" i="14"/>
  <c r="T33" i="14"/>
  <c r="N20" i="14"/>
  <c r="N19" i="14"/>
  <c r="N18" i="14"/>
  <c r="E17" i="14"/>
  <c r="E23" i="14"/>
  <c r="N17" i="9"/>
  <c r="N16" i="21"/>
  <c r="K16" i="21"/>
  <c r="H16" i="21"/>
  <c r="E16" i="21"/>
  <c r="N15" i="21"/>
  <c r="K15" i="21"/>
  <c r="H15" i="21"/>
  <c r="E15" i="21"/>
  <c r="N14" i="21"/>
  <c r="K14" i="21"/>
  <c r="H14" i="21"/>
  <c r="E14" i="21"/>
  <c r="N16" i="20"/>
  <c r="K16" i="20"/>
  <c r="H16" i="20"/>
  <c r="E16" i="20"/>
  <c r="N15" i="20"/>
  <c r="K15" i="20"/>
  <c r="K19" i="20"/>
  <c r="H15" i="20"/>
  <c r="E15" i="20"/>
  <c r="N14" i="20"/>
  <c r="K14" i="20"/>
  <c r="K17" i="20"/>
  <c r="H14" i="20"/>
  <c r="E14" i="20"/>
  <c r="N16" i="19"/>
  <c r="K16" i="19"/>
  <c r="H16" i="19"/>
  <c r="E16" i="19"/>
  <c r="N15" i="19"/>
  <c r="N18" i="19"/>
  <c r="N2" i="19" s="1"/>
  <c r="K15" i="19"/>
  <c r="K19" i="19"/>
  <c r="H15" i="19"/>
  <c r="E15" i="19"/>
  <c r="E19" i="19"/>
  <c r="E3" i="19"/>
  <c r="N14" i="19"/>
  <c r="K14" i="19"/>
  <c r="H14" i="19"/>
  <c r="E14" i="19"/>
  <c r="H14" i="18"/>
  <c r="H3" i="21"/>
  <c r="E52" i="20"/>
  <c r="E50" i="20"/>
  <c r="E49" i="20"/>
  <c r="E48" i="20"/>
  <c r="E18" i="20" s="1"/>
  <c r="E2" i="20" s="1"/>
  <c r="E47" i="20"/>
  <c r="E46" i="20"/>
  <c r="E45" i="20"/>
  <c r="E44" i="20"/>
  <c r="E43" i="20"/>
  <c r="N42" i="20"/>
  <c r="K42" i="20"/>
  <c r="H42" i="20"/>
  <c r="E42" i="20"/>
  <c r="E41" i="20"/>
  <c r="N40" i="20"/>
  <c r="K40" i="20"/>
  <c r="H40" i="20"/>
  <c r="E40" i="20"/>
  <c r="N39" i="20"/>
  <c r="K39" i="20"/>
  <c r="H39" i="20"/>
  <c r="E39" i="20"/>
  <c r="N38" i="20"/>
  <c r="K38" i="20"/>
  <c r="K18" i="20" s="1"/>
  <c r="K2" i="20" s="1"/>
  <c r="H38" i="20"/>
  <c r="H18" i="20" s="1"/>
  <c r="H2" i="20" s="1"/>
  <c r="E38" i="20"/>
  <c r="E9" i="20"/>
  <c r="E12" i="20"/>
  <c r="N37" i="20"/>
  <c r="K37" i="20"/>
  <c r="H37" i="20"/>
  <c r="E37" i="20"/>
  <c r="E23" i="20"/>
  <c r="N36" i="20"/>
  <c r="K36" i="20"/>
  <c r="H36" i="20"/>
  <c r="E36" i="20"/>
  <c r="N35" i="20"/>
  <c r="K35" i="20"/>
  <c r="H35" i="20"/>
  <c r="E35" i="20"/>
  <c r="N34" i="20"/>
  <c r="K34" i="20"/>
  <c r="H34" i="20"/>
  <c r="E34" i="20"/>
  <c r="N33" i="20"/>
  <c r="K33" i="20"/>
  <c r="H33" i="20"/>
  <c r="E33" i="20"/>
  <c r="N32" i="20"/>
  <c r="K32" i="20"/>
  <c r="H32" i="20"/>
  <c r="E32" i="20"/>
  <c r="N31" i="20"/>
  <c r="K31" i="20"/>
  <c r="H31" i="20"/>
  <c r="E31" i="20"/>
  <c r="N30" i="20"/>
  <c r="N9" i="20"/>
  <c r="K30" i="20"/>
  <c r="H30" i="20"/>
  <c r="E30" i="20"/>
  <c r="N29" i="20"/>
  <c r="H29" i="20"/>
  <c r="E29" i="20"/>
  <c r="N28" i="20"/>
  <c r="K28" i="20"/>
  <c r="H28" i="20"/>
  <c r="E28" i="20"/>
  <c r="N27" i="20"/>
  <c r="K27" i="20"/>
  <c r="H27" i="20"/>
  <c r="E27" i="20"/>
  <c r="E22" i="20"/>
  <c r="N26" i="20"/>
  <c r="K26" i="20"/>
  <c r="H26" i="20"/>
  <c r="E26" i="20"/>
  <c r="N25" i="20"/>
  <c r="K25" i="20"/>
  <c r="H25" i="20"/>
  <c r="E25" i="20"/>
  <c r="N24" i="20"/>
  <c r="K24" i="20"/>
  <c r="H24" i="20"/>
  <c r="E24" i="20"/>
  <c r="N23" i="20"/>
  <c r="K23" i="20"/>
  <c r="H23" i="20"/>
  <c r="N22" i="20"/>
  <c r="K22" i="20"/>
  <c r="H22" i="20"/>
  <c r="N17" i="20"/>
  <c r="N13" i="20"/>
  <c r="K13" i="20"/>
  <c r="K11" i="20"/>
  <c r="K12" i="20"/>
  <c r="H13" i="20"/>
  <c r="E13" i="20"/>
  <c r="N11" i="20"/>
  <c r="N12" i="20"/>
  <c r="H11" i="20"/>
  <c r="H12" i="20"/>
  <c r="E11" i="20"/>
  <c r="N10" i="20"/>
  <c r="K10" i="20"/>
  <c r="H10" i="20"/>
  <c r="E10" i="20"/>
  <c r="K9" i="20"/>
  <c r="H9" i="20"/>
  <c r="N8" i="20"/>
  <c r="K8" i="20"/>
  <c r="H8" i="20"/>
  <c r="E8" i="20"/>
  <c r="E52" i="21"/>
  <c r="E50" i="21"/>
  <c r="E49" i="21"/>
  <c r="E48" i="21"/>
  <c r="E18" i="21" s="1"/>
  <c r="E2" i="21" s="1"/>
  <c r="E47" i="21"/>
  <c r="E46" i="21"/>
  <c r="E45" i="21"/>
  <c r="E44" i="21"/>
  <c r="E43" i="21"/>
  <c r="N42" i="21"/>
  <c r="K42" i="21"/>
  <c r="H42" i="21"/>
  <c r="E42" i="21"/>
  <c r="E41" i="21"/>
  <c r="N40" i="21"/>
  <c r="K40" i="21"/>
  <c r="H40" i="21"/>
  <c r="E40" i="21"/>
  <c r="N39" i="21"/>
  <c r="K39" i="21"/>
  <c r="H39" i="21"/>
  <c r="E39" i="21"/>
  <c r="N38" i="21"/>
  <c r="N18" i="21" s="1"/>
  <c r="N2" i="21" s="1"/>
  <c r="K38" i="21"/>
  <c r="K18" i="21" s="1"/>
  <c r="K2" i="21" s="1"/>
  <c r="H38" i="21"/>
  <c r="H18" i="21" s="1"/>
  <c r="H2" i="21" s="1"/>
  <c r="E38" i="21"/>
  <c r="E9" i="21"/>
  <c r="E12" i="21"/>
  <c r="N37" i="21"/>
  <c r="K37" i="21"/>
  <c r="H37" i="21"/>
  <c r="E37" i="21"/>
  <c r="E23" i="21"/>
  <c r="N36" i="21"/>
  <c r="K36" i="21"/>
  <c r="H36" i="21"/>
  <c r="E36" i="21"/>
  <c r="N35" i="21"/>
  <c r="K35" i="21"/>
  <c r="H35" i="21"/>
  <c r="E35" i="21"/>
  <c r="N34" i="21"/>
  <c r="K34" i="21"/>
  <c r="H34" i="21"/>
  <c r="E34" i="21"/>
  <c r="N33" i="21"/>
  <c r="K33" i="21"/>
  <c r="H33" i="21"/>
  <c r="E33" i="21"/>
  <c r="N32" i="21"/>
  <c r="K32" i="21"/>
  <c r="H32" i="21"/>
  <c r="E32" i="21"/>
  <c r="N31" i="21"/>
  <c r="K31" i="21"/>
  <c r="H31" i="21"/>
  <c r="E31" i="21"/>
  <c r="N30" i="21"/>
  <c r="N9" i="21"/>
  <c r="K30" i="21"/>
  <c r="K9" i="21"/>
  <c r="H30" i="21"/>
  <c r="E30" i="21"/>
  <c r="N29" i="21"/>
  <c r="H29" i="21"/>
  <c r="E29" i="21"/>
  <c r="N28" i="21"/>
  <c r="K28" i="21"/>
  <c r="H28" i="21"/>
  <c r="E28" i="21"/>
  <c r="N27" i="21"/>
  <c r="K27" i="21"/>
  <c r="H27" i="21"/>
  <c r="E27" i="21"/>
  <c r="E22" i="21"/>
  <c r="N26" i="21"/>
  <c r="K26" i="21"/>
  <c r="H26" i="21"/>
  <c r="E26" i="21"/>
  <c r="N25" i="21"/>
  <c r="K25" i="21"/>
  <c r="H25" i="21"/>
  <c r="E25" i="21"/>
  <c r="N24" i="21"/>
  <c r="K24" i="21"/>
  <c r="H24" i="21"/>
  <c r="E24" i="21"/>
  <c r="N23" i="21"/>
  <c r="K23" i="21"/>
  <c r="H23" i="21"/>
  <c r="N22" i="21"/>
  <c r="K22" i="21"/>
  <c r="H22" i="21"/>
  <c r="E17" i="21"/>
  <c r="N13" i="21"/>
  <c r="K13" i="21"/>
  <c r="H13" i="21"/>
  <c r="E13" i="21"/>
  <c r="N11" i="21"/>
  <c r="N12" i="21"/>
  <c r="K11" i="21"/>
  <c r="H11" i="21"/>
  <c r="H12" i="21"/>
  <c r="E11" i="21"/>
  <c r="N10" i="21"/>
  <c r="K10" i="21"/>
  <c r="H10" i="21"/>
  <c r="E10" i="21"/>
  <c r="H9" i="21"/>
  <c r="H19" i="21"/>
  <c r="N8" i="21"/>
  <c r="K8" i="21"/>
  <c r="H8" i="21"/>
  <c r="H20" i="21"/>
  <c r="E8" i="21"/>
  <c r="E52" i="19"/>
  <c r="E50" i="19"/>
  <c r="E49" i="19"/>
  <c r="E48" i="19"/>
  <c r="E47" i="19"/>
  <c r="E45" i="19"/>
  <c r="E44" i="19"/>
  <c r="E43" i="19"/>
  <c r="N42" i="19"/>
  <c r="K42" i="19"/>
  <c r="H42" i="19"/>
  <c r="E42" i="19"/>
  <c r="E41" i="19"/>
  <c r="N40" i="19"/>
  <c r="K40" i="19"/>
  <c r="H40" i="19"/>
  <c r="H7" i="19"/>
  <c r="E40" i="19"/>
  <c r="N39" i="19"/>
  <c r="K39" i="19"/>
  <c r="H39" i="19"/>
  <c r="E39" i="19"/>
  <c r="N38" i="19"/>
  <c r="K38" i="19"/>
  <c r="H38" i="19"/>
  <c r="H18" i="19" s="1"/>
  <c r="H2" i="19" s="1"/>
  <c r="E38" i="19"/>
  <c r="E9" i="19"/>
  <c r="E12" i="19"/>
  <c r="N37" i="19"/>
  <c r="K37" i="19"/>
  <c r="H37" i="19"/>
  <c r="E37" i="19"/>
  <c r="E23" i="19"/>
  <c r="N36" i="19"/>
  <c r="K36" i="19"/>
  <c r="H36" i="19"/>
  <c r="E36" i="19"/>
  <c r="N35" i="19"/>
  <c r="K35" i="19"/>
  <c r="H35" i="19"/>
  <c r="E35" i="19"/>
  <c r="N34" i="19"/>
  <c r="K34" i="19"/>
  <c r="H34" i="19"/>
  <c r="E34" i="19"/>
  <c r="N33" i="19"/>
  <c r="K33" i="19"/>
  <c r="H33" i="19"/>
  <c r="E33" i="19"/>
  <c r="N32" i="19"/>
  <c r="K32" i="19"/>
  <c r="H32" i="19"/>
  <c r="E32" i="19"/>
  <c r="N31" i="19"/>
  <c r="K31" i="19"/>
  <c r="H31" i="19"/>
  <c r="E31" i="19"/>
  <c r="N30" i="19"/>
  <c r="N9" i="19"/>
  <c r="K30" i="19"/>
  <c r="K9" i="19"/>
  <c r="H30" i="19"/>
  <c r="E30" i="19"/>
  <c r="N29" i="19"/>
  <c r="H29" i="19"/>
  <c r="E29" i="19"/>
  <c r="N28" i="19"/>
  <c r="K28" i="19"/>
  <c r="H28" i="19"/>
  <c r="E28" i="19"/>
  <c r="N27" i="19"/>
  <c r="K27" i="19"/>
  <c r="H27" i="19"/>
  <c r="E27" i="19"/>
  <c r="E22" i="19"/>
  <c r="N26" i="19"/>
  <c r="K26" i="19"/>
  <c r="H26" i="19"/>
  <c r="E26" i="19"/>
  <c r="N25" i="19"/>
  <c r="K25" i="19"/>
  <c r="H25" i="19"/>
  <c r="E25" i="19"/>
  <c r="N24" i="19"/>
  <c r="K24" i="19"/>
  <c r="H24" i="19"/>
  <c r="E24" i="19"/>
  <c r="N23" i="19"/>
  <c r="K23" i="19"/>
  <c r="H23" i="19"/>
  <c r="N22" i="19"/>
  <c r="K22" i="19"/>
  <c r="H22" i="19"/>
  <c r="N17" i="19"/>
  <c r="H17" i="19"/>
  <c r="N13" i="19"/>
  <c r="K13" i="19"/>
  <c r="H13" i="19"/>
  <c r="E13" i="19"/>
  <c r="N11" i="19"/>
  <c r="N12" i="19"/>
  <c r="K11" i="19"/>
  <c r="H11" i="19"/>
  <c r="H12" i="19"/>
  <c r="E11" i="19"/>
  <c r="N10" i="19"/>
  <c r="K10" i="19"/>
  <c r="H10" i="19"/>
  <c r="E10" i="19"/>
  <c r="H9" i="19"/>
  <c r="N8" i="19"/>
  <c r="K8" i="19"/>
  <c r="H8" i="19"/>
  <c r="E8" i="19"/>
  <c r="N19" i="18"/>
  <c r="N20" i="18"/>
  <c r="K20" i="18"/>
  <c r="K17" i="18"/>
  <c r="H20" i="18"/>
  <c r="E19" i="18"/>
  <c r="N14" i="9"/>
  <c r="W2" i="13"/>
  <c r="U2" i="13"/>
  <c r="Q2" i="13"/>
  <c r="AF36" i="14"/>
  <c r="W36" i="14"/>
  <c r="N36" i="14"/>
  <c r="N34" i="14"/>
  <c r="AF36" i="9"/>
  <c r="W36" i="9"/>
  <c r="N36" i="9"/>
  <c r="E46" i="9"/>
  <c r="E46" i="14"/>
  <c r="Q12" i="13"/>
  <c r="Q23" i="13"/>
  <c r="E52" i="14"/>
  <c r="E50" i="14"/>
  <c r="E7" i="14"/>
  <c r="E47" i="14"/>
  <c r="AL45" i="14"/>
  <c r="AI45" i="14"/>
  <c r="AC45" i="14"/>
  <c r="Z45" i="14"/>
  <c r="T45" i="14"/>
  <c r="Q45" i="14"/>
  <c r="K45" i="14"/>
  <c r="H45" i="14"/>
  <c r="E45" i="14"/>
  <c r="AL44" i="14"/>
  <c r="AI44" i="14"/>
  <c r="AC44" i="14"/>
  <c r="Z44" i="14"/>
  <c r="T44" i="14"/>
  <c r="Q44" i="14"/>
  <c r="K44" i="14"/>
  <c r="H44" i="14"/>
  <c r="E44" i="14"/>
  <c r="AL43" i="14"/>
  <c r="AI43" i="14"/>
  <c r="AC43" i="14"/>
  <c r="Z43" i="14"/>
  <c r="T43" i="14"/>
  <c r="Q43" i="14"/>
  <c r="K43" i="14"/>
  <c r="H43" i="14"/>
  <c r="E43" i="14"/>
  <c r="AF42" i="14"/>
  <c r="W42" i="14"/>
  <c r="N42" i="14"/>
  <c r="E42" i="14"/>
  <c r="AL41" i="14"/>
  <c r="AC41" i="14"/>
  <c r="T41" i="14"/>
  <c r="K41" i="14"/>
  <c r="E41" i="14"/>
  <c r="AL40" i="14"/>
  <c r="AF40" i="14"/>
  <c r="AC40" i="14"/>
  <c r="W40" i="14"/>
  <c r="W7" i="14"/>
  <c r="T40" i="14"/>
  <c r="N40" i="14"/>
  <c r="K40" i="14"/>
  <c r="E40" i="14"/>
  <c r="AL39" i="14"/>
  <c r="AC39" i="14"/>
  <c r="T39" i="14"/>
  <c r="K39" i="14"/>
  <c r="E39" i="14"/>
  <c r="AL38" i="14"/>
  <c r="AC38" i="14"/>
  <c r="T38" i="14"/>
  <c r="K38" i="14"/>
  <c r="E38" i="14"/>
  <c r="E9" i="14"/>
  <c r="E12" i="14"/>
  <c r="AL37" i="14"/>
  <c r="AI37" i="14"/>
  <c r="AF37" i="14"/>
  <c r="AC37" i="14"/>
  <c r="Z37" i="14"/>
  <c r="W37" i="14"/>
  <c r="T37" i="14"/>
  <c r="Q37" i="14"/>
  <c r="N37" i="14"/>
  <c r="K37" i="14"/>
  <c r="H37" i="14"/>
  <c r="E37" i="14"/>
  <c r="K36" i="14"/>
  <c r="H36" i="14"/>
  <c r="E36" i="14"/>
  <c r="AL35" i="14"/>
  <c r="AI35" i="14"/>
  <c r="AI6" i="14"/>
  <c r="AF35" i="14"/>
  <c r="AC35" i="14"/>
  <c r="Z35" i="14"/>
  <c r="W35" i="14"/>
  <c r="Q35" i="14"/>
  <c r="Q6" i="14"/>
  <c r="N35" i="14"/>
  <c r="K35" i="14"/>
  <c r="H35" i="14"/>
  <c r="E35" i="14"/>
  <c r="AL34" i="14"/>
  <c r="AI34" i="14"/>
  <c r="AF34" i="14"/>
  <c r="AC34" i="14"/>
  <c r="AC11" i="14"/>
  <c r="Z34" i="14"/>
  <c r="W34" i="14"/>
  <c r="Q34" i="14"/>
  <c r="K34" i="14"/>
  <c r="H34" i="14"/>
  <c r="E34" i="14"/>
  <c r="AL33" i="14"/>
  <c r="AL11" i="14"/>
  <c r="AI33" i="14"/>
  <c r="AF33" i="14"/>
  <c r="AC33" i="14"/>
  <c r="Z33" i="14"/>
  <c r="W33" i="14"/>
  <c r="Q33" i="14"/>
  <c r="N33" i="14"/>
  <c r="K33" i="14"/>
  <c r="H33" i="14"/>
  <c r="H4" i="14"/>
  <c r="H9" i="14"/>
  <c r="E33" i="14"/>
  <c r="AL32" i="14"/>
  <c r="AI32" i="14"/>
  <c r="AF32" i="14"/>
  <c r="AC32" i="14"/>
  <c r="Z32" i="14"/>
  <c r="W32" i="14"/>
  <c r="T32" i="14"/>
  <c r="Q32" i="14"/>
  <c r="N32" i="14"/>
  <c r="K32" i="14"/>
  <c r="H32" i="14"/>
  <c r="E32" i="14"/>
  <c r="AF31" i="14"/>
  <c r="W31" i="14"/>
  <c r="N31" i="14"/>
  <c r="E31" i="14"/>
  <c r="AL30" i="14"/>
  <c r="AI30" i="14"/>
  <c r="AF30" i="14"/>
  <c r="AF9" i="14"/>
  <c r="AC30" i="14"/>
  <c r="Z30" i="14"/>
  <c r="W30" i="14"/>
  <c r="W9" i="14"/>
  <c r="T30" i="14"/>
  <c r="Q30" i="14"/>
  <c r="N30" i="14"/>
  <c r="N9" i="14"/>
  <c r="K30" i="14"/>
  <c r="H30" i="14"/>
  <c r="E30" i="14"/>
  <c r="AF29" i="14"/>
  <c r="N29" i="14"/>
  <c r="K29" i="14"/>
  <c r="H29" i="14"/>
  <c r="E29" i="14"/>
  <c r="AL28" i="14"/>
  <c r="AL18" i="14"/>
  <c r="AI28" i="14"/>
  <c r="AI18" i="14"/>
  <c r="AF28" i="14"/>
  <c r="AC28" i="14"/>
  <c r="AC18" i="14"/>
  <c r="Z28" i="14"/>
  <c r="Z18" i="14"/>
  <c r="W28" i="14"/>
  <c r="T28" i="14"/>
  <c r="T18" i="14"/>
  <c r="Q28" i="14"/>
  <c r="Q18" i="14"/>
  <c r="N28" i="14"/>
  <c r="K28" i="14"/>
  <c r="K18" i="14"/>
  <c r="H28" i="14"/>
  <c r="H18" i="14"/>
  <c r="E28" i="14"/>
  <c r="AL27" i="14"/>
  <c r="AI27" i="14"/>
  <c r="AF27" i="14"/>
  <c r="AC27" i="14"/>
  <c r="Z27" i="14"/>
  <c r="W27" i="14"/>
  <c r="T27" i="14"/>
  <c r="Q27" i="14"/>
  <c r="N27" i="14"/>
  <c r="K27" i="14"/>
  <c r="H27" i="14"/>
  <c r="E27" i="14"/>
  <c r="AL26" i="14"/>
  <c r="AI26" i="14"/>
  <c r="AF26" i="14"/>
  <c r="AC26" i="14"/>
  <c r="Z26" i="14"/>
  <c r="W26" i="14"/>
  <c r="T26" i="14"/>
  <c r="Q26" i="14"/>
  <c r="N26" i="14"/>
  <c r="K26" i="14"/>
  <c r="H26" i="14"/>
  <c r="E26" i="14"/>
  <c r="AL25" i="14"/>
  <c r="AI25" i="14"/>
  <c r="AF25" i="14"/>
  <c r="AC25" i="14"/>
  <c r="Z25" i="14"/>
  <c r="W25" i="14"/>
  <c r="T25" i="14"/>
  <c r="Q25" i="14"/>
  <c r="N25" i="14"/>
  <c r="K25" i="14"/>
  <c r="H25" i="14"/>
  <c r="E25" i="14"/>
  <c r="AL24" i="14"/>
  <c r="AI24" i="14"/>
  <c r="AF24" i="14"/>
  <c r="AC24" i="14"/>
  <c r="Z24" i="14"/>
  <c r="W24" i="14"/>
  <c r="W22" i="14"/>
  <c r="T24" i="14"/>
  <c r="Q24" i="14"/>
  <c r="N24" i="14"/>
  <c r="K24" i="14"/>
  <c r="H24" i="14"/>
  <c r="E24" i="14"/>
  <c r="AL23" i="14"/>
  <c r="AI23" i="14"/>
  <c r="AF23" i="14"/>
  <c r="AC23" i="14"/>
  <c r="Z23" i="14"/>
  <c r="W23" i="14"/>
  <c r="T23" i="14"/>
  <c r="Q23" i="14"/>
  <c r="N23" i="14"/>
  <c r="K23" i="14"/>
  <c r="H23" i="14"/>
  <c r="AL22" i="14"/>
  <c r="AI22" i="14"/>
  <c r="AC22" i="14"/>
  <c r="Z22" i="14"/>
  <c r="T22" i="14"/>
  <c r="Q22" i="14"/>
  <c r="K22" i="14"/>
  <c r="H22" i="14"/>
  <c r="AL21" i="14"/>
  <c r="AL19" i="14"/>
  <c r="AI21" i="14"/>
  <c r="AI19" i="14"/>
  <c r="AC21" i="14"/>
  <c r="AC19" i="14"/>
  <c r="Z21" i="14"/>
  <c r="Z19" i="14"/>
  <c r="Z20" i="14"/>
  <c r="T21" i="14"/>
  <c r="T19" i="14"/>
  <c r="Q21" i="14"/>
  <c r="Q19" i="14"/>
  <c r="K21" i="14"/>
  <c r="K19" i="14"/>
  <c r="H21" i="14"/>
  <c r="H19" i="14"/>
  <c r="AL17" i="14"/>
  <c r="AI17" i="14"/>
  <c r="AC17" i="14"/>
  <c r="Z17" i="14"/>
  <c r="T17" i="14"/>
  <c r="Q17" i="14"/>
  <c r="K17" i="14"/>
  <c r="H17" i="14"/>
  <c r="AF16" i="14"/>
  <c r="W16" i="14"/>
  <c r="N16" i="14"/>
  <c r="E16" i="14"/>
  <c r="AF15" i="14"/>
  <c r="N15" i="14"/>
  <c r="E15" i="14"/>
  <c r="AF14" i="14"/>
  <c r="W14" i="14"/>
  <c r="N14" i="14"/>
  <c r="E14" i="14"/>
  <c r="AF13" i="14"/>
  <c r="AF11" i="14"/>
  <c r="AF12" i="14"/>
  <c r="W13" i="14"/>
  <c r="W11" i="14"/>
  <c r="N13" i="14"/>
  <c r="N11" i="14"/>
  <c r="E13" i="14"/>
  <c r="E11" i="14"/>
  <c r="AF10" i="14"/>
  <c r="W10" i="14"/>
  <c r="N10" i="14"/>
  <c r="E10" i="14"/>
  <c r="AF8" i="14"/>
  <c r="W8" i="14"/>
  <c r="N8" i="14"/>
  <c r="E8" i="14"/>
  <c r="AC45" i="9"/>
  <c r="Z45" i="9"/>
  <c r="AC44" i="9"/>
  <c r="Z44" i="9"/>
  <c r="AC43" i="9"/>
  <c r="Z43" i="9"/>
  <c r="AC41" i="9"/>
  <c r="AC40" i="9"/>
  <c r="AC39" i="9"/>
  <c r="AC38" i="9"/>
  <c r="AC37" i="9"/>
  <c r="Z37" i="9"/>
  <c r="AC35" i="9"/>
  <c r="Z35" i="9"/>
  <c r="AC34" i="9"/>
  <c r="Z34" i="9"/>
  <c r="AC33" i="9"/>
  <c r="Z33" i="9"/>
  <c r="AC32" i="9"/>
  <c r="Z32" i="9"/>
  <c r="AC30" i="9"/>
  <c r="Z30" i="9"/>
  <c r="AC28" i="9"/>
  <c r="AC18" i="9"/>
  <c r="Z28" i="9"/>
  <c r="Z18" i="9"/>
  <c r="AC27" i="9"/>
  <c r="Z27" i="9"/>
  <c r="AC26" i="9"/>
  <c r="Z26" i="9"/>
  <c r="AC25" i="9"/>
  <c r="Z25" i="9"/>
  <c r="AC24" i="9"/>
  <c r="Z24" i="9"/>
  <c r="AC23" i="9"/>
  <c r="Z23" i="9"/>
  <c r="AC22" i="9"/>
  <c r="Z22" i="9"/>
  <c r="AC21" i="9"/>
  <c r="AC19" i="9"/>
  <c r="Z21" i="9"/>
  <c r="Z19" i="9"/>
  <c r="AC17" i="9"/>
  <c r="Z17" i="9"/>
  <c r="T30" i="9"/>
  <c r="Q30" i="9"/>
  <c r="K14" i="13"/>
  <c r="H29" i="18"/>
  <c r="E10" i="18"/>
  <c r="H10" i="18"/>
  <c r="K10" i="18"/>
  <c r="U20" i="13"/>
  <c r="K36" i="9"/>
  <c r="H36" i="9"/>
  <c r="E42" i="9"/>
  <c r="K27" i="9"/>
  <c r="K28" i="9"/>
  <c r="H28" i="9"/>
  <c r="H18" i="9"/>
  <c r="E38" i="9"/>
  <c r="E9" i="9"/>
  <c r="K32" i="9"/>
  <c r="H32" i="9"/>
  <c r="E41" i="9"/>
  <c r="AL27" i="9"/>
  <c r="AI27" i="9"/>
  <c r="AF28" i="9"/>
  <c r="AL28" i="9"/>
  <c r="AL18" i="9"/>
  <c r="AI28" i="9"/>
  <c r="AI18" i="9"/>
  <c r="AF30" i="9"/>
  <c r="AF9" i="9"/>
  <c r="AL32" i="9"/>
  <c r="AI32" i="9"/>
  <c r="AF25" i="9"/>
  <c r="W25" i="9"/>
  <c r="W30" i="9"/>
  <c r="W9" i="9"/>
  <c r="W12" i="9"/>
  <c r="W28" i="9"/>
  <c r="T32" i="9"/>
  <c r="T28" i="9"/>
  <c r="T27" i="9"/>
  <c r="Q27" i="9"/>
  <c r="Q28" i="9"/>
  <c r="Q18" i="9"/>
  <c r="Q33" i="9"/>
  <c r="Q32" i="9"/>
  <c r="E52" i="9"/>
  <c r="E50" i="9"/>
  <c r="E47" i="9"/>
  <c r="E45" i="9"/>
  <c r="E44" i="9"/>
  <c r="E43" i="9"/>
  <c r="AF42" i="9"/>
  <c r="W42" i="9"/>
  <c r="N42" i="9"/>
  <c r="AF40" i="9"/>
  <c r="AF7" i="9"/>
  <c r="W40" i="9"/>
  <c r="N40" i="9"/>
  <c r="E40" i="9"/>
  <c r="E39" i="9"/>
  <c r="AF37" i="9"/>
  <c r="W37" i="9"/>
  <c r="N37" i="9"/>
  <c r="E37" i="9"/>
  <c r="E36" i="9"/>
  <c r="AF35" i="9"/>
  <c r="W35" i="9"/>
  <c r="N35" i="9"/>
  <c r="E35" i="9"/>
  <c r="AF34" i="9"/>
  <c r="W34" i="9"/>
  <c r="N34" i="9"/>
  <c r="E34" i="9"/>
  <c r="AF33" i="9"/>
  <c r="W33" i="9"/>
  <c r="N33" i="9"/>
  <c r="E33" i="9"/>
  <c r="AF32" i="9"/>
  <c r="W32" i="9"/>
  <c r="N32" i="9"/>
  <c r="E32" i="9"/>
  <c r="AF31" i="9"/>
  <c r="W31" i="9"/>
  <c r="N31" i="9"/>
  <c r="E31" i="9"/>
  <c r="N30" i="9"/>
  <c r="N9" i="9"/>
  <c r="E30" i="9"/>
  <c r="AF29" i="9"/>
  <c r="N29" i="9"/>
  <c r="E29" i="9"/>
  <c r="N28" i="9"/>
  <c r="E28" i="9"/>
  <c r="AF27" i="9"/>
  <c r="W27" i="9"/>
  <c r="N27" i="9"/>
  <c r="E27" i="9"/>
  <c r="AF26" i="9"/>
  <c r="W26" i="9"/>
  <c r="N26" i="9"/>
  <c r="E26" i="9"/>
  <c r="N25" i="9"/>
  <c r="E25" i="9"/>
  <c r="AF24" i="9"/>
  <c r="W24" i="9"/>
  <c r="N24" i="9"/>
  <c r="E24" i="9"/>
  <c r="AF23" i="9"/>
  <c r="W23" i="9"/>
  <c r="N23" i="9"/>
  <c r="AF16" i="9"/>
  <c r="W16" i="9"/>
  <c r="N16" i="9"/>
  <c r="E16" i="9"/>
  <c r="AF15" i="9"/>
  <c r="W15" i="9"/>
  <c r="N15" i="9"/>
  <c r="E15" i="9"/>
  <c r="AF14" i="9"/>
  <c r="W14" i="9"/>
  <c r="E14" i="9"/>
  <c r="AF13" i="9"/>
  <c r="AF11" i="9"/>
  <c r="W13" i="9"/>
  <c r="W11" i="9"/>
  <c r="N13" i="9"/>
  <c r="N11" i="9"/>
  <c r="E13" i="9"/>
  <c r="E11" i="9"/>
  <c r="E12" i="9"/>
  <c r="AF10" i="9"/>
  <c r="W10" i="9"/>
  <c r="N10" i="9"/>
  <c r="E10" i="9"/>
  <c r="AF8" i="9"/>
  <c r="W8" i="9"/>
  <c r="N8" i="9"/>
  <c r="E8" i="9"/>
  <c r="H23" i="18"/>
  <c r="E3" i="13"/>
  <c r="I3" i="13"/>
  <c r="E13" i="13"/>
  <c r="E12" i="13"/>
  <c r="G3" i="13"/>
  <c r="E14" i="13"/>
  <c r="E23" i="13"/>
  <c r="E22" i="13"/>
  <c r="K3" i="13"/>
  <c r="K17" i="13"/>
  <c r="K23" i="13"/>
  <c r="K22" i="13"/>
  <c r="E52" i="18"/>
  <c r="E50" i="18"/>
  <c r="E47" i="18"/>
  <c r="E45" i="18"/>
  <c r="E44" i="18"/>
  <c r="E43" i="18"/>
  <c r="H42" i="18"/>
  <c r="K42" i="18"/>
  <c r="N42" i="18"/>
  <c r="E42" i="18"/>
  <c r="E41" i="18"/>
  <c r="H40" i="18"/>
  <c r="K40" i="18"/>
  <c r="N40" i="18"/>
  <c r="E40" i="18"/>
  <c r="E39" i="18"/>
  <c r="E38" i="18"/>
  <c r="E9" i="18"/>
  <c r="K37" i="18"/>
  <c r="N37" i="18"/>
  <c r="E37" i="18"/>
  <c r="E23" i="18"/>
  <c r="E36" i="18"/>
  <c r="H35" i="18"/>
  <c r="K35" i="18"/>
  <c r="N35" i="18"/>
  <c r="E35" i="18"/>
  <c r="H34" i="18"/>
  <c r="K34" i="18"/>
  <c r="N34" i="18"/>
  <c r="E34" i="18"/>
  <c r="H33" i="18"/>
  <c r="K33" i="18"/>
  <c r="N33" i="18"/>
  <c r="E33" i="18"/>
  <c r="H32" i="18"/>
  <c r="K32" i="18"/>
  <c r="N32" i="18"/>
  <c r="E32" i="18"/>
  <c r="H31" i="18"/>
  <c r="K31" i="18"/>
  <c r="N31" i="18"/>
  <c r="E31" i="18"/>
  <c r="H30" i="18"/>
  <c r="H9" i="18"/>
  <c r="K30" i="18"/>
  <c r="K9" i="18"/>
  <c r="N30" i="18"/>
  <c r="N9" i="18"/>
  <c r="N12" i="18"/>
  <c r="E30" i="18"/>
  <c r="N29" i="18"/>
  <c r="E29" i="18"/>
  <c r="K27" i="18"/>
  <c r="N27" i="18"/>
  <c r="E28" i="18"/>
  <c r="H26" i="18"/>
  <c r="K26" i="18"/>
  <c r="N26" i="18"/>
  <c r="E27" i="18"/>
  <c r="H28" i="18"/>
  <c r="K28" i="18"/>
  <c r="N28" i="18"/>
  <c r="E26" i="18"/>
  <c r="H25" i="18"/>
  <c r="K25" i="18"/>
  <c r="N25" i="18"/>
  <c r="E25" i="18"/>
  <c r="H24" i="18"/>
  <c r="K24" i="18"/>
  <c r="N24" i="18"/>
  <c r="E24" i="18"/>
  <c r="K23" i="18"/>
  <c r="N23" i="18"/>
  <c r="H16" i="18"/>
  <c r="K16" i="18"/>
  <c r="N16" i="18"/>
  <c r="E16" i="18"/>
  <c r="H15" i="18"/>
  <c r="K15" i="18"/>
  <c r="N15" i="18"/>
  <c r="E15" i="18"/>
  <c r="K14" i="18"/>
  <c r="N14" i="18"/>
  <c r="N17" i="18"/>
  <c r="E14" i="18"/>
  <c r="H13" i="18"/>
  <c r="H11" i="18"/>
  <c r="K13" i="18"/>
  <c r="N13" i="18"/>
  <c r="N11" i="18"/>
  <c r="E13" i="18"/>
  <c r="K11" i="18"/>
  <c r="E11" i="18"/>
  <c r="N10" i="18"/>
  <c r="H8" i="18"/>
  <c r="K8" i="18"/>
  <c r="N8" i="18"/>
  <c r="E8" i="18"/>
  <c r="AI37" i="9"/>
  <c r="Q37" i="9"/>
  <c r="H37" i="9"/>
  <c r="AL41" i="9"/>
  <c r="AL40" i="9"/>
  <c r="AL39" i="9"/>
  <c r="AL38" i="9"/>
  <c r="T41" i="9"/>
  <c r="T40" i="9"/>
  <c r="T39" i="9"/>
  <c r="T38" i="9"/>
  <c r="AL37" i="9"/>
  <c r="T37" i="9"/>
  <c r="K37" i="9"/>
  <c r="K41" i="9"/>
  <c r="K40" i="9"/>
  <c r="K39" i="9"/>
  <c r="K38" i="9"/>
  <c r="K3" i="9"/>
  <c r="K8" i="9"/>
  <c r="H45" i="9"/>
  <c r="T35" i="9"/>
  <c r="AL35" i="9"/>
  <c r="K35" i="9"/>
  <c r="Q35" i="9"/>
  <c r="AI35" i="9"/>
  <c r="H35" i="9"/>
  <c r="T26" i="9"/>
  <c r="AL26" i="9"/>
  <c r="K26" i="9"/>
  <c r="Q26" i="9"/>
  <c r="AI26" i="9"/>
  <c r="H26" i="9"/>
  <c r="AI25" i="9"/>
  <c r="Q25" i="9"/>
  <c r="K25" i="9"/>
  <c r="AL25" i="9"/>
  <c r="T25" i="9"/>
  <c r="T24" i="9"/>
  <c r="AL24" i="9"/>
  <c r="K24" i="9"/>
  <c r="Q24" i="9"/>
  <c r="AI24" i="9"/>
  <c r="H24" i="9"/>
  <c r="AI23" i="9"/>
  <c r="Q23" i="9"/>
  <c r="K23" i="9"/>
  <c r="AL23" i="9"/>
  <c r="T23" i="9"/>
  <c r="T22" i="9"/>
  <c r="AL22" i="9"/>
  <c r="K22" i="9"/>
  <c r="Q22" i="9"/>
  <c r="AI22" i="9"/>
  <c r="H22" i="9"/>
  <c r="H25" i="9"/>
  <c r="H23" i="9"/>
  <c r="T18" i="9"/>
  <c r="H30" i="9"/>
  <c r="K30" i="9"/>
  <c r="H27" i="9"/>
  <c r="K18" i="9"/>
  <c r="T34" i="9"/>
  <c r="AL34" i="9"/>
  <c r="K34" i="9"/>
  <c r="Q34" i="9"/>
  <c r="AI34" i="9"/>
  <c r="H34" i="9"/>
  <c r="T33" i="9"/>
  <c r="AL33" i="9"/>
  <c r="K33" i="9"/>
  <c r="AI33" i="9"/>
  <c r="H33" i="9"/>
  <c r="H43" i="9"/>
  <c r="AI43" i="9"/>
  <c r="Q43" i="9"/>
  <c r="K43" i="9"/>
  <c r="AL43" i="9"/>
  <c r="T43" i="9"/>
  <c r="AL30" i="9"/>
  <c r="K29" i="9"/>
  <c r="AI30" i="9"/>
  <c r="H29" i="9"/>
  <c r="T21" i="9"/>
  <c r="T19" i="9"/>
  <c r="AL21" i="9"/>
  <c r="AL19" i="9"/>
  <c r="K21" i="9"/>
  <c r="K19" i="9"/>
  <c r="Q21" i="9"/>
  <c r="Q19" i="9"/>
  <c r="AI21" i="9"/>
  <c r="AI19" i="9"/>
  <c r="H21" i="9"/>
  <c r="H19" i="9"/>
  <c r="T17" i="9"/>
  <c r="AL17" i="9"/>
  <c r="K17" i="9"/>
  <c r="Q17" i="9"/>
  <c r="AI17" i="9"/>
  <c r="H17" i="9"/>
  <c r="C8" i="13"/>
  <c r="C9" i="13"/>
  <c r="C2" i="13"/>
  <c r="T45" i="9"/>
  <c r="AL45" i="9"/>
  <c r="K45" i="9"/>
  <c r="Q45" i="9"/>
  <c r="AI45" i="9"/>
  <c r="T44" i="9"/>
  <c r="AL44" i="9"/>
  <c r="K44" i="9"/>
  <c r="Q44" i="9"/>
  <c r="AI44" i="9"/>
  <c r="H44" i="9"/>
  <c r="W35" i="13"/>
  <c r="W30" i="13"/>
  <c r="U35" i="13"/>
  <c r="U30" i="13"/>
  <c r="O34" i="13"/>
  <c r="O29" i="13"/>
  <c r="M34" i="13"/>
  <c r="M29" i="13"/>
  <c r="S34" i="13"/>
  <c r="S29" i="13"/>
  <c r="S23" i="13"/>
  <c r="Q34" i="13"/>
  <c r="Q29" i="13"/>
  <c r="W29" i="13"/>
  <c r="U29" i="13"/>
  <c r="S28" i="13"/>
  <c r="Q28" i="13"/>
  <c r="O28" i="13"/>
  <c r="O23" i="13"/>
  <c r="M28" i="13"/>
  <c r="M20" i="13"/>
  <c r="I23" i="13"/>
  <c r="I22" i="13"/>
  <c r="G23" i="13"/>
  <c r="G22" i="13"/>
  <c r="W20" i="13"/>
  <c r="W18" i="13"/>
  <c r="U18" i="13"/>
  <c r="S17" i="13"/>
  <c r="Q17" i="13"/>
  <c r="O17" i="13"/>
  <c r="M17" i="13"/>
  <c r="I17" i="13"/>
  <c r="G17" i="13"/>
  <c r="E17" i="13"/>
  <c r="W14" i="13"/>
  <c r="U14" i="13"/>
  <c r="S14" i="13"/>
  <c r="Q14" i="13"/>
  <c r="O14" i="13"/>
  <c r="M14" i="13"/>
  <c r="I14" i="13"/>
  <c r="G14" i="13"/>
  <c r="W13" i="13"/>
  <c r="W12" i="13"/>
  <c r="U13" i="13"/>
  <c r="U12" i="13"/>
  <c r="S13" i="13"/>
  <c r="S12" i="13"/>
  <c r="Q13" i="13"/>
  <c r="O13" i="13"/>
  <c r="O12" i="13"/>
  <c r="M13" i="13"/>
  <c r="M12" i="13"/>
  <c r="K13" i="13"/>
  <c r="K12" i="13"/>
  <c r="I13" i="13"/>
  <c r="I12" i="13"/>
  <c r="G13" i="13"/>
  <c r="G12" i="13"/>
  <c r="W3" i="13"/>
  <c r="U3" i="13"/>
  <c r="S3" i="13"/>
  <c r="Q3" i="13"/>
  <c r="O3" i="13"/>
  <c r="M3" i="13"/>
  <c r="C4" i="13"/>
  <c r="E12" i="18"/>
  <c r="W24" i="13"/>
  <c r="O20" i="13"/>
  <c r="U24" i="13"/>
  <c r="N38" i="9"/>
  <c r="AF38" i="9"/>
  <c r="AF18" i="9" s="1"/>
  <c r="AF2" i="9" s="1"/>
  <c r="W38" i="9"/>
  <c r="W18" i="9" s="1"/>
  <c r="W2" i="9" s="1"/>
  <c r="N39" i="14"/>
  <c r="E49" i="14"/>
  <c r="AF39" i="9"/>
  <c r="H39" i="18"/>
  <c r="W39" i="9"/>
  <c r="E49" i="18"/>
  <c r="K39" i="18"/>
  <c r="AF39" i="14"/>
  <c r="W39" i="14"/>
  <c r="N39" i="9"/>
  <c r="N39" i="18"/>
  <c r="E49" i="9"/>
  <c r="S2" i="13"/>
  <c r="M23" i="13"/>
  <c r="AI20" i="14"/>
  <c r="K20" i="9"/>
  <c r="E23" i="9"/>
  <c r="E48" i="18"/>
  <c r="E18" i="18" s="1"/>
  <c r="E2" i="18" s="1"/>
  <c r="E48" i="9"/>
  <c r="H38" i="18"/>
  <c r="H18" i="18" s="1"/>
  <c r="N38" i="18"/>
  <c r="N18" i="18" s="1"/>
  <c r="N2" i="18" s="1"/>
  <c r="K38" i="18"/>
  <c r="K18" i="18" s="1"/>
  <c r="H20" i="19"/>
  <c r="H20" i="20"/>
  <c r="K20" i="20"/>
  <c r="N19" i="20"/>
  <c r="N20" i="20"/>
  <c r="H17" i="20"/>
  <c r="E20" i="20"/>
  <c r="N18" i="20"/>
  <c r="N2" i="20" s="1"/>
  <c r="E17" i="20"/>
  <c r="N19" i="21"/>
  <c r="N17" i="21"/>
  <c r="E19" i="21"/>
  <c r="E3" i="21"/>
  <c r="N20" i="21"/>
  <c r="N3" i="21"/>
  <c r="K12" i="21"/>
  <c r="K19" i="21"/>
  <c r="K3" i="21"/>
  <c r="H17" i="21"/>
  <c r="E20" i="21"/>
  <c r="N20" i="19"/>
  <c r="K12" i="19"/>
  <c r="K20" i="19"/>
  <c r="E17" i="19"/>
  <c r="E22" i="18"/>
  <c r="N22" i="18"/>
  <c r="K22" i="18"/>
  <c r="H12" i="18"/>
  <c r="K12" i="18"/>
  <c r="K20" i="21"/>
  <c r="K17" i="21"/>
  <c r="K18" i="19"/>
  <c r="K2" i="19" s="1"/>
  <c r="K17" i="19"/>
  <c r="H7" i="21"/>
  <c r="H5" i="21"/>
  <c r="T20" i="14"/>
  <c r="Q20" i="14"/>
  <c r="N12" i="14"/>
  <c r="AL20" i="14"/>
  <c r="H20" i="14"/>
  <c r="K20" i="14"/>
  <c r="AC20" i="14"/>
  <c r="W12" i="14"/>
  <c r="H20" i="9"/>
  <c r="Q20" i="9"/>
  <c r="Q2" i="9"/>
  <c r="N22" i="9"/>
  <c r="W22" i="9"/>
  <c r="W17" i="9"/>
  <c r="Q6" i="9"/>
  <c r="E20" i="9"/>
  <c r="W19" i="9"/>
  <c r="AF22" i="9"/>
  <c r="E22" i="9"/>
  <c r="K2" i="9"/>
  <c r="K7" i="9"/>
  <c r="AF12" i="9"/>
  <c r="AF20" i="9"/>
  <c r="AF19" i="9"/>
  <c r="AI20" i="9"/>
  <c r="AI3" i="9"/>
  <c r="AI2" i="9"/>
  <c r="N12" i="9"/>
  <c r="N18" i="9"/>
  <c r="N2" i="9" s="1"/>
  <c r="N20" i="9"/>
  <c r="N19" i="9"/>
  <c r="Q11" i="9"/>
  <c r="AL2" i="9"/>
  <c r="H6" i="9"/>
  <c r="H3" i="9"/>
  <c r="H2" i="9"/>
  <c r="H4" i="9"/>
  <c r="H5" i="9"/>
  <c r="Z20" i="9"/>
  <c r="Z4" i="9"/>
  <c r="Z6" i="9"/>
  <c r="Z2" i="9"/>
  <c r="Q4" i="9"/>
  <c r="T5" i="9"/>
  <c r="T6" i="9"/>
  <c r="E18" i="9"/>
  <c r="E2" i="9" s="1"/>
  <c r="Q3" i="9"/>
  <c r="T20" i="9"/>
  <c r="T3" i="9"/>
  <c r="K6" i="9"/>
  <c r="AC20" i="9"/>
  <c r="AC3" i="9"/>
  <c r="K4" i="9"/>
  <c r="K5" i="9"/>
  <c r="W20" i="9"/>
  <c r="AL20" i="9"/>
  <c r="AL4" i="9"/>
  <c r="E19" i="9"/>
  <c r="K5" i="21"/>
  <c r="K7" i="21"/>
  <c r="N7" i="21"/>
  <c r="N5" i="21"/>
  <c r="E5" i="21"/>
  <c r="E7" i="21"/>
  <c r="K3" i="20"/>
  <c r="E19" i="20"/>
  <c r="E3" i="20"/>
  <c r="H19" i="20"/>
  <c r="E5" i="19"/>
  <c r="H19" i="19"/>
  <c r="E18" i="19"/>
  <c r="E2" i="19"/>
  <c r="E6" i="19" s="1"/>
  <c r="N19" i="19"/>
  <c r="N3" i="20"/>
  <c r="H3" i="20"/>
  <c r="H3" i="19"/>
  <c r="N3" i="19"/>
  <c r="K3" i="19"/>
  <c r="AL7" i="14"/>
  <c r="H3" i="14"/>
  <c r="AL3" i="9"/>
  <c r="AL6" i="9"/>
  <c r="AL11" i="9"/>
  <c r="AL5" i="9"/>
  <c r="AL10" i="9"/>
  <c r="AC5" i="9"/>
  <c r="Q5" i="9"/>
  <c r="Q10" i="9"/>
  <c r="AI4" i="9"/>
  <c r="AI9" i="9"/>
  <c r="E3" i="9"/>
  <c r="Z5" i="9"/>
  <c r="Z10" i="9"/>
  <c r="AF17" i="9"/>
  <c r="Z3" i="9"/>
  <c r="Z9" i="9"/>
  <c r="AI8" i="9"/>
  <c r="AF3" i="9"/>
  <c r="AL8" i="9"/>
  <c r="H8" i="9"/>
  <c r="T11" i="9"/>
  <c r="H11" i="9"/>
  <c r="AI7" i="9"/>
  <c r="K11" i="9"/>
  <c r="T10" i="9"/>
  <c r="Z7" i="9"/>
  <c r="AL7" i="9"/>
  <c r="N3" i="9"/>
  <c r="T8" i="9"/>
  <c r="Q9" i="9"/>
  <c r="Z11" i="9"/>
  <c r="K10" i="9"/>
  <c r="AC8" i="9"/>
  <c r="AC10" i="9"/>
  <c r="W3" i="9"/>
  <c r="H10" i="9"/>
  <c r="AI5" i="9"/>
  <c r="K9" i="9"/>
  <c r="Q8" i="9"/>
  <c r="H9" i="9"/>
  <c r="AI6" i="9"/>
  <c r="AL9" i="9"/>
  <c r="AC4" i="9"/>
  <c r="AC6" i="9"/>
  <c r="AC2" i="9"/>
  <c r="T2" i="9"/>
  <c r="T4" i="9"/>
  <c r="E5" i="20"/>
  <c r="E7" i="20"/>
  <c r="K7" i="20"/>
  <c r="K5" i="20"/>
  <c r="H7" i="20"/>
  <c r="H5" i="20"/>
  <c r="N7" i="20"/>
  <c r="N5" i="20"/>
  <c r="K5" i="19"/>
  <c r="N5" i="19"/>
  <c r="H5" i="19"/>
  <c r="Z8" i="9"/>
  <c r="AC11" i="9"/>
  <c r="AC9" i="9"/>
  <c r="T9" i="9"/>
  <c r="AI10" i="9"/>
  <c r="W7" i="9"/>
  <c r="W5" i="9"/>
  <c r="N7" i="9"/>
  <c r="N5" i="9"/>
  <c r="AI11" i="9"/>
  <c r="T7" i="9"/>
  <c r="AC7" i="9"/>
  <c r="AF5" i="9"/>
  <c r="N38" i="14"/>
  <c r="N2" i="14"/>
  <c r="W38" i="14"/>
  <c r="R46" i="13"/>
  <c r="R47" i="13"/>
  <c r="AF22" i="14"/>
  <c r="N22" i="14"/>
  <c r="W2" i="14"/>
  <c r="W6" i="14"/>
  <c r="Z5" i="14"/>
  <c r="Z2" i="14"/>
  <c r="Z7" i="14"/>
  <c r="Z4" i="14"/>
  <c r="Z9" i="14"/>
  <c r="Z6" i="14"/>
  <c r="Z3" i="14"/>
  <c r="AC9" i="14"/>
  <c r="AC7" i="14"/>
  <c r="N3" i="14"/>
  <c r="AF3" i="14"/>
  <c r="T7" i="14"/>
  <c r="E20" i="14"/>
  <c r="H5" i="14"/>
  <c r="H10" i="14"/>
  <c r="H2" i="14"/>
  <c r="H6" i="14"/>
  <c r="W3" i="14"/>
  <c r="AI11" i="14"/>
  <c r="Q11" i="14"/>
  <c r="AL9" i="14"/>
  <c r="T11" i="14"/>
  <c r="AI4" i="14"/>
  <c r="Q5" i="14"/>
  <c r="Q2" i="14"/>
  <c r="Z10" i="14"/>
  <c r="Q4" i="14"/>
  <c r="AI5" i="14"/>
  <c r="AI3" i="14"/>
  <c r="T10" i="14"/>
  <c r="AI2" i="14"/>
  <c r="Q3" i="14"/>
  <c r="K3" i="14"/>
  <c r="K4" i="14"/>
  <c r="K9" i="14"/>
  <c r="H8" i="14"/>
  <c r="K5" i="14"/>
  <c r="K2" i="14"/>
  <c r="K6" i="14"/>
  <c r="W4" i="14"/>
  <c r="K8" i="14"/>
  <c r="T8" i="14"/>
  <c r="T9" i="14"/>
  <c r="Z8" i="14"/>
  <c r="AC10" i="14"/>
  <c r="AC8" i="14"/>
  <c r="Z11" i="14"/>
  <c r="H11" i="14"/>
  <c r="H7" i="14"/>
  <c r="AF5" i="14"/>
  <c r="N4" i="14"/>
  <c r="N6" i="14"/>
  <c r="W5" i="14"/>
  <c r="N5" i="14"/>
  <c r="N7" i="14"/>
  <c r="Q7" i="14"/>
  <c r="AI7" i="14"/>
  <c r="AL10" i="14"/>
  <c r="AI10" i="14"/>
  <c r="Q9" i="14"/>
  <c r="Q10" i="14"/>
  <c r="AL8" i="14"/>
  <c r="AI8" i="14"/>
  <c r="AI9" i="14"/>
  <c r="Q8" i="14"/>
  <c r="K11" i="14"/>
  <c r="K7" i="14"/>
  <c r="K10" i="14"/>
  <c r="E19" i="14"/>
  <c r="E3" i="14"/>
  <c r="E5" i="14"/>
  <c r="Z16" i="17"/>
  <c r="Z11" i="17"/>
  <c r="W12" i="17"/>
  <c r="W17" i="17"/>
  <c r="AC6" i="17"/>
  <c r="Z5" i="17"/>
  <c r="Z3" i="17"/>
  <c r="AI5" i="17"/>
  <c r="AI20" i="17"/>
  <c r="AI3" i="17"/>
  <c r="AI6" i="17"/>
  <c r="AI4" i="17"/>
  <c r="AI2" i="17"/>
  <c r="AC5" i="17"/>
  <c r="AC3" i="17"/>
  <c r="AL20" i="17"/>
  <c r="AL6" i="17"/>
  <c r="H5" i="17"/>
  <c r="H3" i="17"/>
  <c r="K5" i="17"/>
  <c r="K3" i="17"/>
  <c r="K6" i="17"/>
  <c r="K4" i="17"/>
  <c r="K2" i="17"/>
  <c r="H20" i="17"/>
  <c r="H4" i="17"/>
  <c r="H6" i="17"/>
  <c r="E20" i="17"/>
  <c r="Q5" i="17"/>
  <c r="T5" i="17"/>
  <c r="Q4" i="17"/>
  <c r="Q20" i="17"/>
  <c r="Q6" i="17"/>
  <c r="Q2" i="17"/>
  <c r="W20" i="17"/>
  <c r="T20" i="17"/>
  <c r="T3" i="17"/>
  <c r="T6" i="17"/>
  <c r="T4" i="17"/>
  <c r="T2" i="17"/>
  <c r="E17" i="17"/>
  <c r="N18" i="17"/>
  <c r="N20" i="17"/>
  <c r="AF17" i="17"/>
  <c r="W18" i="17"/>
  <c r="Z2" i="17"/>
  <c r="Z4" i="17"/>
  <c r="N17" i="17"/>
  <c r="AC2" i="17"/>
  <c r="Q3" i="17"/>
  <c r="AC4" i="17"/>
  <c r="E18" i="17"/>
  <c r="H2" i="17"/>
  <c r="T20" i="16"/>
  <c r="T5" i="16"/>
  <c r="T6" i="16"/>
  <c r="T4" i="16"/>
  <c r="T2" i="16"/>
  <c r="Z5" i="16"/>
  <c r="Z6" i="16"/>
  <c r="AL11" i="16"/>
  <c r="AL16" i="16"/>
  <c r="Z20" i="16"/>
  <c r="Z3" i="16"/>
  <c r="AI20" i="16"/>
  <c r="AI4" i="16"/>
  <c r="AI6" i="16"/>
  <c r="E20" i="16"/>
  <c r="H20" i="16"/>
  <c r="H4" i="16"/>
  <c r="AI3" i="16"/>
  <c r="H6" i="16"/>
  <c r="K20" i="16"/>
  <c r="K5" i="16"/>
  <c r="K6" i="16"/>
  <c r="K4" i="16"/>
  <c r="K2" i="16"/>
  <c r="AC20" i="16"/>
  <c r="AC5" i="16"/>
  <c r="W20" i="16"/>
  <c r="Q15" i="16"/>
  <c r="Q10" i="16"/>
  <c r="W17" i="16"/>
  <c r="N18" i="16"/>
  <c r="N20" i="16"/>
  <c r="Q2" i="16"/>
  <c r="Q4" i="16"/>
  <c r="Q6" i="16"/>
  <c r="E17" i="16"/>
  <c r="AF17" i="16"/>
  <c r="K3" i="16"/>
  <c r="W18" i="16"/>
  <c r="AL4" i="16"/>
  <c r="Z2" i="16"/>
  <c r="AL3" i="16"/>
  <c r="Z4" i="16"/>
  <c r="AL5" i="16"/>
  <c r="N17" i="16"/>
  <c r="AL2" i="16"/>
  <c r="Q3" i="16"/>
  <c r="E18" i="16"/>
  <c r="H2" i="16"/>
  <c r="AL5" i="15"/>
  <c r="Z20" i="15"/>
  <c r="Z6" i="15"/>
  <c r="AI20" i="15"/>
  <c r="AI5" i="15"/>
  <c r="W19" i="15"/>
  <c r="W17" i="15"/>
  <c r="AC20" i="15"/>
  <c r="AC3" i="15"/>
  <c r="AL20" i="15"/>
  <c r="AL6" i="15"/>
  <c r="AL4" i="15"/>
  <c r="AL2" i="15"/>
  <c r="H20" i="15"/>
  <c r="H6" i="15"/>
  <c r="E20" i="15"/>
  <c r="K20" i="15"/>
  <c r="K5" i="15"/>
  <c r="K6" i="15"/>
  <c r="K4" i="15"/>
  <c r="K2" i="15"/>
  <c r="Q5" i="15"/>
  <c r="Q2" i="15"/>
  <c r="Q20" i="15"/>
  <c r="Q4" i="15"/>
  <c r="Q6" i="15"/>
  <c r="W20" i="15"/>
  <c r="T20" i="15"/>
  <c r="T2" i="15"/>
  <c r="T6" i="15"/>
  <c r="T4" i="15"/>
  <c r="N18" i="15"/>
  <c r="N20" i="15"/>
  <c r="AF17" i="15"/>
  <c r="K3" i="15"/>
  <c r="W18" i="15"/>
  <c r="Z2" i="15"/>
  <c r="AL3" i="15"/>
  <c r="N17" i="15"/>
  <c r="Q3" i="15"/>
  <c r="E18" i="15"/>
  <c r="E17" i="15"/>
  <c r="AF7" i="14"/>
  <c r="E6" i="14"/>
  <c r="E4" i="14"/>
  <c r="Q16" i="10"/>
  <c r="T12" i="10"/>
  <c r="T14" i="10"/>
  <c r="T15" i="10"/>
  <c r="T13" i="10"/>
  <c r="Q20" i="12"/>
  <c r="Q3" i="12"/>
  <c r="T10" i="12"/>
  <c r="Z9" i="12"/>
  <c r="AC9" i="12"/>
  <c r="E20" i="12"/>
  <c r="G53" i="12"/>
  <c r="E18" i="12"/>
  <c r="G51" i="12"/>
  <c r="K6" i="12"/>
  <c r="K4" i="12"/>
  <c r="K2" i="12"/>
  <c r="AL5" i="12"/>
  <c r="N17" i="12"/>
  <c r="H15" i="12"/>
  <c r="H10" i="12"/>
  <c r="Q6" i="12"/>
  <c r="Q4" i="12"/>
  <c r="Q2" i="12"/>
  <c r="H7" i="12"/>
  <c r="H12" i="12"/>
  <c r="T3" i="12"/>
  <c r="H11" i="12"/>
  <c r="H16" i="12"/>
  <c r="T6" i="12"/>
  <c r="Z5" i="12"/>
  <c r="Z3" i="12"/>
  <c r="AI3" i="12"/>
  <c r="K5" i="12"/>
  <c r="K13" i="12"/>
  <c r="AC5" i="12"/>
  <c r="AC3" i="12"/>
  <c r="Z2" i="12"/>
  <c r="AL3" i="12"/>
  <c r="Z6" i="12"/>
  <c r="E19" i="12"/>
  <c r="G52" i="12"/>
  <c r="E17" i="12"/>
  <c r="AC2" i="12"/>
  <c r="Q5" i="12"/>
  <c r="AC6" i="12"/>
  <c r="N18" i="12"/>
  <c r="N2" i="12" s="1"/>
  <c r="AI6" i="12"/>
  <c r="AI4" i="12"/>
  <c r="AI2" i="12"/>
  <c r="H4" i="12"/>
  <c r="W19" i="12"/>
  <c r="W17" i="12"/>
  <c r="AL6" i="12"/>
  <c r="AL2" i="12"/>
  <c r="AL4" i="12"/>
  <c r="E22" i="12"/>
  <c r="N20" i="12"/>
  <c r="AF20" i="12"/>
  <c r="T2" i="12"/>
  <c r="H3" i="12"/>
  <c r="T4" i="12"/>
  <c r="AF17" i="12"/>
  <c r="K10" i="11"/>
  <c r="K15" i="11"/>
  <c r="Z4" i="11"/>
  <c r="Z10" i="11"/>
  <c r="H20" i="11"/>
  <c r="H4" i="11"/>
  <c r="H6" i="11"/>
  <c r="Q11" i="11"/>
  <c r="T5" i="11"/>
  <c r="T3" i="11"/>
  <c r="T20" i="11"/>
  <c r="T6" i="11"/>
  <c r="AL10" i="11"/>
  <c r="K13" i="11"/>
  <c r="W19" i="11"/>
  <c r="W17" i="11"/>
  <c r="AC20" i="11"/>
  <c r="AC2" i="11"/>
  <c r="AC6" i="11"/>
  <c r="AC4" i="11"/>
  <c r="Z6" i="11"/>
  <c r="AI6" i="11"/>
  <c r="AI4" i="11"/>
  <c r="AI2" i="11"/>
  <c r="AL6" i="11"/>
  <c r="W20" i="11"/>
  <c r="N19" i="11"/>
  <c r="N17" i="11"/>
  <c r="N20" i="11"/>
  <c r="K6" i="11"/>
  <c r="K4" i="11"/>
  <c r="K2" i="11"/>
  <c r="W18" i="11"/>
  <c r="W2" i="11" s="1"/>
  <c r="Q5" i="11"/>
  <c r="Q3" i="11"/>
  <c r="E18" i="11"/>
  <c r="E2" i="11" s="1"/>
  <c r="G51" i="11"/>
  <c r="AL2" i="11"/>
  <c r="AL4" i="11"/>
  <c r="E20" i="11"/>
  <c r="G53" i="11"/>
  <c r="AF18" i="11"/>
  <c r="Q2" i="11"/>
  <c r="AC3" i="11"/>
  <c r="Q4" i="11"/>
  <c r="E17" i="11"/>
  <c r="AF20" i="11"/>
  <c r="Z3" i="11"/>
  <c r="T2" i="11"/>
  <c r="T4" i="11"/>
  <c r="AF17" i="11"/>
  <c r="E19" i="10"/>
  <c r="G52" i="10"/>
  <c r="K6" i="10"/>
  <c r="Z5" i="10"/>
  <c r="N20" i="10"/>
  <c r="Q6" i="10"/>
  <c r="K20" i="10"/>
  <c r="K2" i="10"/>
  <c r="Z20" i="10"/>
  <c r="Z6" i="10"/>
  <c r="Z4" i="10"/>
  <c r="Z2" i="10"/>
  <c r="T20" i="10"/>
  <c r="T4" i="10"/>
  <c r="AC20" i="10"/>
  <c r="AC5" i="10"/>
  <c r="AC6" i="10"/>
  <c r="AC4" i="10"/>
  <c r="AC2" i="10"/>
  <c r="K5" i="10"/>
  <c r="K3" i="10"/>
  <c r="AI5" i="10"/>
  <c r="AI3" i="10"/>
  <c r="AI6" i="10"/>
  <c r="AL5" i="10"/>
  <c r="AL3" i="10"/>
  <c r="AL6" i="10"/>
  <c r="H20" i="10"/>
  <c r="H5" i="10"/>
  <c r="H6" i="10"/>
  <c r="H4" i="10"/>
  <c r="H2" i="10"/>
  <c r="Q5" i="10"/>
  <c r="Q3" i="10"/>
  <c r="W20" i="10"/>
  <c r="N17" i="10"/>
  <c r="E18" i="10"/>
  <c r="G51" i="10" s="1"/>
  <c r="E20" i="10"/>
  <c r="G53" i="10"/>
  <c r="AF20" i="10"/>
  <c r="AI2" i="10"/>
  <c r="K4" i="10"/>
  <c r="AI4" i="10"/>
  <c r="W17" i="10"/>
  <c r="AL2" i="10"/>
  <c r="Z3" i="10"/>
  <c r="AL4" i="10"/>
  <c r="N18" i="10"/>
  <c r="Q2" i="10"/>
  <c r="AC3" i="10"/>
  <c r="Q4" i="10"/>
  <c r="E17" i="10"/>
  <c r="H3" i="10"/>
  <c r="AF17" i="10"/>
  <c r="N3" i="18"/>
  <c r="N5" i="18" s="1"/>
  <c r="H3" i="18"/>
  <c r="H5" i="18"/>
  <c r="N7" i="19"/>
  <c r="K7" i="19"/>
  <c r="E7" i="19"/>
  <c r="AI13" i="17"/>
  <c r="AI8" i="17"/>
  <c r="T13" i="17"/>
  <c r="T8" i="17"/>
  <c r="H14" i="17"/>
  <c r="H9" i="17"/>
  <c r="AL11" i="17"/>
  <c r="AL16" i="17"/>
  <c r="Q16" i="17"/>
  <c r="Q11" i="17"/>
  <c r="W2" i="17"/>
  <c r="H12" i="17"/>
  <c r="H7" i="17"/>
  <c r="K11" i="17"/>
  <c r="K16" i="17"/>
  <c r="AI15" i="17"/>
  <c r="AI10" i="17"/>
  <c r="T9" i="17"/>
  <c r="T14" i="17"/>
  <c r="AC8" i="17"/>
  <c r="AC13" i="17"/>
  <c r="AF3" i="17"/>
  <c r="K15" i="17"/>
  <c r="K10" i="17"/>
  <c r="Z10" i="17"/>
  <c r="Z15" i="17"/>
  <c r="T7" i="17"/>
  <c r="T12" i="17"/>
  <c r="T15" i="17"/>
  <c r="T10" i="17"/>
  <c r="Z8" i="17"/>
  <c r="Z13" i="17"/>
  <c r="Q10" i="17"/>
  <c r="Q15" i="17"/>
  <c r="Q8" i="17"/>
  <c r="Q13" i="17"/>
  <c r="Z12" i="17"/>
  <c r="Z7" i="17"/>
  <c r="Q14" i="17"/>
  <c r="Q9" i="17"/>
  <c r="K13" i="17"/>
  <c r="K8" i="17"/>
  <c r="AC14" i="17"/>
  <c r="AC9" i="17"/>
  <c r="T11" i="17"/>
  <c r="T16" i="17"/>
  <c r="AC10" i="17"/>
  <c r="AC15" i="17"/>
  <c r="H8" i="17"/>
  <c r="H13" i="17"/>
  <c r="AI7" i="17"/>
  <c r="AI12" i="17"/>
  <c r="AC11" i="17"/>
  <c r="AC16" i="17"/>
  <c r="AC12" i="17"/>
  <c r="AC7" i="17"/>
  <c r="H16" i="17"/>
  <c r="H11" i="17"/>
  <c r="H10" i="17"/>
  <c r="H15" i="17"/>
  <c r="AI9" i="17"/>
  <c r="AI14" i="17"/>
  <c r="N3" i="17"/>
  <c r="N2" i="17"/>
  <c r="E2" i="17"/>
  <c r="E3" i="17"/>
  <c r="Q7" i="17"/>
  <c r="Q12" i="17"/>
  <c r="AL2" i="17"/>
  <c r="AI11" i="17"/>
  <c r="AI16" i="17"/>
  <c r="AL5" i="17"/>
  <c r="Z14" i="17"/>
  <c r="Z9" i="17"/>
  <c r="W19" i="17"/>
  <c r="W3" i="17"/>
  <c r="K7" i="17"/>
  <c r="K12" i="17"/>
  <c r="AL4" i="17"/>
  <c r="AL3" i="17"/>
  <c r="K9" i="17"/>
  <c r="K14" i="17"/>
  <c r="K15" i="16"/>
  <c r="K10" i="16"/>
  <c r="H14" i="16"/>
  <c r="H9" i="16"/>
  <c r="AC10" i="16"/>
  <c r="AC15" i="16"/>
  <c r="AI9" i="16"/>
  <c r="AI14" i="16"/>
  <c r="Z8" i="16"/>
  <c r="Z13" i="16"/>
  <c r="T15" i="16"/>
  <c r="T10" i="16"/>
  <c r="Z14" i="16"/>
  <c r="Z9" i="16"/>
  <c r="H16" i="16"/>
  <c r="H11" i="16"/>
  <c r="Q11" i="16"/>
  <c r="Q16" i="16"/>
  <c r="AI13" i="16"/>
  <c r="AI8" i="16"/>
  <c r="H12" i="16"/>
  <c r="H7" i="16"/>
  <c r="E2" i="16"/>
  <c r="E3" i="16"/>
  <c r="AI11" i="16"/>
  <c r="AI16" i="16"/>
  <c r="Z11" i="16"/>
  <c r="Z16" i="16"/>
  <c r="AL13" i="16"/>
  <c r="AL8" i="16"/>
  <c r="Z10" i="16"/>
  <c r="Z15" i="16"/>
  <c r="AC4" i="16"/>
  <c r="Z12" i="16"/>
  <c r="Z7" i="16"/>
  <c r="Q9" i="16"/>
  <c r="Q14" i="16"/>
  <c r="Q13" i="16"/>
  <c r="Q8" i="16"/>
  <c r="AL9" i="16"/>
  <c r="AL14" i="16"/>
  <c r="Q7" i="16"/>
  <c r="Q12" i="16"/>
  <c r="K7" i="16"/>
  <c r="K12" i="16"/>
  <c r="AC6" i="16"/>
  <c r="T7" i="16"/>
  <c r="T12" i="16"/>
  <c r="AC2" i="16"/>
  <c r="K9" i="16"/>
  <c r="K14" i="16"/>
  <c r="H3" i="16"/>
  <c r="AC3" i="16"/>
  <c r="T9" i="16"/>
  <c r="T14" i="16"/>
  <c r="AL7" i="16"/>
  <c r="AL12" i="16"/>
  <c r="AI5" i="16"/>
  <c r="K11" i="16"/>
  <c r="K16" i="16"/>
  <c r="H5" i="16"/>
  <c r="T11" i="16"/>
  <c r="T16" i="16"/>
  <c r="N3" i="16"/>
  <c r="N2" i="16"/>
  <c r="K13" i="16"/>
  <c r="K8" i="16"/>
  <c r="W2" i="16"/>
  <c r="W3" i="16"/>
  <c r="AI2" i="16"/>
  <c r="T3" i="16"/>
  <c r="AL10" i="16"/>
  <c r="AL15" i="16"/>
  <c r="AF3" i="16"/>
  <c r="T7" i="15"/>
  <c r="T12" i="15"/>
  <c r="AC8" i="15"/>
  <c r="AC13" i="15"/>
  <c r="K15" i="15"/>
  <c r="K10" i="15"/>
  <c r="H16" i="15"/>
  <c r="H11" i="15"/>
  <c r="AI15" i="15"/>
  <c r="AI10" i="15"/>
  <c r="Z16" i="15"/>
  <c r="Z11" i="15"/>
  <c r="Z12" i="15"/>
  <c r="Z7" i="15"/>
  <c r="Q7" i="15"/>
  <c r="Q12" i="15"/>
  <c r="T11" i="15"/>
  <c r="T16" i="15"/>
  <c r="W2" i="15"/>
  <c r="W3" i="15"/>
  <c r="K13" i="15"/>
  <c r="K8" i="15"/>
  <c r="T5" i="15"/>
  <c r="AC5" i="15"/>
  <c r="E2" i="15"/>
  <c r="E3" i="15"/>
  <c r="T9" i="15"/>
  <c r="T14" i="15"/>
  <c r="Q10" i="15"/>
  <c r="Q15" i="15"/>
  <c r="AC4" i="15"/>
  <c r="AI3" i="15"/>
  <c r="K7" i="15"/>
  <c r="K12" i="15"/>
  <c r="H3" i="15"/>
  <c r="AC6" i="15"/>
  <c r="Q8" i="15"/>
  <c r="Q13" i="15"/>
  <c r="K9" i="15"/>
  <c r="K14" i="15"/>
  <c r="H5" i="15"/>
  <c r="Z3" i="15"/>
  <c r="AC2" i="15"/>
  <c r="AF3" i="15"/>
  <c r="K11" i="15"/>
  <c r="K16" i="15"/>
  <c r="AL7" i="15"/>
  <c r="AL12" i="15"/>
  <c r="Z5" i="15"/>
  <c r="H4" i="15"/>
  <c r="N3" i="15"/>
  <c r="N2" i="15"/>
  <c r="Q11" i="15"/>
  <c r="Q16" i="15"/>
  <c r="AL9" i="15"/>
  <c r="AL14" i="15"/>
  <c r="AI2" i="15"/>
  <c r="AL15" i="15"/>
  <c r="AL10" i="15"/>
  <c r="T3" i="15"/>
  <c r="Z4" i="15"/>
  <c r="Q9" i="15"/>
  <c r="Q14" i="15"/>
  <c r="AL11" i="15"/>
  <c r="AL16" i="15"/>
  <c r="AI4" i="15"/>
  <c r="H2" i="15"/>
  <c r="AL13" i="15"/>
  <c r="AL8" i="15"/>
  <c r="AI6" i="15"/>
  <c r="T8" i="12"/>
  <c r="H9" i="12"/>
  <c r="H14" i="12"/>
  <c r="G50" i="12"/>
  <c r="E3" i="12"/>
  <c r="E2" i="12"/>
  <c r="E4" i="12" s="1"/>
  <c r="AL9" i="12"/>
  <c r="AC7" i="12"/>
  <c r="K10" i="12"/>
  <c r="K15" i="12"/>
  <c r="AI7" i="12"/>
  <c r="AI8" i="12"/>
  <c r="AL10" i="12"/>
  <c r="AF3" i="12"/>
  <c r="AI9" i="12"/>
  <c r="Z11" i="12"/>
  <c r="Z8" i="12"/>
  <c r="K12" i="12"/>
  <c r="K7" i="12"/>
  <c r="T9" i="12"/>
  <c r="AL7" i="12"/>
  <c r="AI11" i="12"/>
  <c r="AL8" i="12"/>
  <c r="Z10" i="12"/>
  <c r="Q7" i="12"/>
  <c r="K14" i="12"/>
  <c r="K9" i="12"/>
  <c r="H13" i="12"/>
  <c r="H8" i="12"/>
  <c r="AL11" i="12"/>
  <c r="Z7" i="12"/>
  <c r="T11" i="12"/>
  <c r="Q9" i="12"/>
  <c r="K16" i="12"/>
  <c r="K11" i="12"/>
  <c r="T7" i="12"/>
  <c r="AC11" i="12"/>
  <c r="AC8" i="12"/>
  <c r="Q11" i="12"/>
  <c r="Q8" i="12"/>
  <c r="W3" i="12"/>
  <c r="Q10" i="12"/>
  <c r="AC10" i="12"/>
  <c r="T11" i="11"/>
  <c r="H9" i="11"/>
  <c r="H14" i="11"/>
  <c r="AC7" i="11"/>
  <c r="W3" i="11"/>
  <c r="Z8" i="11"/>
  <c r="AI9" i="11"/>
  <c r="T8" i="11"/>
  <c r="AI11" i="11"/>
  <c r="H5" i="11"/>
  <c r="Q8" i="11"/>
  <c r="AF3" i="11"/>
  <c r="AF2" i="11"/>
  <c r="AF6" i="11" s="1"/>
  <c r="AC8" i="11"/>
  <c r="Q10" i="11"/>
  <c r="AC11" i="11"/>
  <c r="Z9" i="11"/>
  <c r="K14" i="11"/>
  <c r="K9" i="11"/>
  <c r="H11" i="11"/>
  <c r="H16" i="11"/>
  <c r="AL9" i="11"/>
  <c r="Q9" i="11"/>
  <c r="N3" i="11"/>
  <c r="T9" i="11"/>
  <c r="Q7" i="11"/>
  <c r="AC5" i="11"/>
  <c r="H2" i="11"/>
  <c r="T7" i="11"/>
  <c r="AI7" i="11"/>
  <c r="K16" i="11"/>
  <c r="K11" i="11"/>
  <c r="AL7" i="11"/>
  <c r="T10" i="11"/>
  <c r="G50" i="11"/>
  <c r="E3" i="11"/>
  <c r="Z11" i="11"/>
  <c r="AC9" i="11"/>
  <c r="H3" i="11"/>
  <c r="K12" i="11"/>
  <c r="K7" i="11"/>
  <c r="AL11" i="11"/>
  <c r="H15" i="10"/>
  <c r="H10" i="10"/>
  <c r="K7" i="10"/>
  <c r="K12" i="10"/>
  <c r="AC10" i="10"/>
  <c r="T9" i="10"/>
  <c r="H9" i="10"/>
  <c r="H14" i="10"/>
  <c r="H7" i="10"/>
  <c r="K13" i="10"/>
  <c r="K8" i="10"/>
  <c r="AL9" i="10"/>
  <c r="Z8" i="10"/>
  <c r="Q11" i="10"/>
  <c r="AL7" i="10"/>
  <c r="Z7" i="10"/>
  <c r="Z9" i="10"/>
  <c r="H13" i="10"/>
  <c r="H8" i="10"/>
  <c r="AI8" i="10"/>
  <c r="T2" i="10"/>
  <c r="AI10" i="10"/>
  <c r="H11" i="10"/>
  <c r="H16" i="10"/>
  <c r="Z10" i="10"/>
  <c r="G50" i="10"/>
  <c r="E3" i="10"/>
  <c r="W3" i="10"/>
  <c r="N2" i="10"/>
  <c r="N3" i="10"/>
  <c r="K15" i="10"/>
  <c r="K10" i="10"/>
  <c r="Z11" i="10"/>
  <c r="K11" i="10"/>
  <c r="K16" i="10"/>
  <c r="Q9" i="10"/>
  <c r="AI9" i="10"/>
  <c r="AL11" i="10"/>
  <c r="AC7" i="10"/>
  <c r="AC8" i="10"/>
  <c r="K9" i="10"/>
  <c r="K14" i="10"/>
  <c r="AL8" i="10"/>
  <c r="AC9" i="10"/>
  <c r="T5" i="10"/>
  <c r="AF3" i="10"/>
  <c r="Q7" i="10"/>
  <c r="AI7" i="10"/>
  <c r="Q8" i="10"/>
  <c r="AL10" i="10"/>
  <c r="AC11" i="10"/>
  <c r="T6" i="10"/>
  <c r="T3" i="10"/>
  <c r="Q10" i="10"/>
  <c r="AI11" i="10"/>
  <c r="H7" i="18"/>
  <c r="W7" i="17"/>
  <c r="W5" i="17"/>
  <c r="AL9" i="17"/>
  <c r="AL14" i="17"/>
  <c r="AF7" i="17"/>
  <c r="AF5" i="17"/>
  <c r="AL7" i="17"/>
  <c r="AL12" i="17"/>
  <c r="E7" i="17"/>
  <c r="E5" i="17"/>
  <c r="E6" i="17"/>
  <c r="E4" i="17"/>
  <c r="W6" i="17"/>
  <c r="W4" i="17"/>
  <c r="AL15" i="17"/>
  <c r="AL10" i="17"/>
  <c r="N6" i="17"/>
  <c r="N4" i="17"/>
  <c r="AL13" i="17"/>
  <c r="AL8" i="17"/>
  <c r="N7" i="17"/>
  <c r="N5" i="17"/>
  <c r="N7" i="16"/>
  <c r="N5" i="16"/>
  <c r="E7" i="16"/>
  <c r="E5" i="16"/>
  <c r="T13" i="16"/>
  <c r="T8" i="16"/>
  <c r="E6" i="16"/>
  <c r="E4" i="16"/>
  <c r="AI7" i="16"/>
  <c r="AI12" i="16"/>
  <c r="AC16" i="16"/>
  <c r="AC11" i="16"/>
  <c r="W7" i="16"/>
  <c r="W5" i="16"/>
  <c r="H10" i="16"/>
  <c r="H15" i="16"/>
  <c r="AC8" i="16"/>
  <c r="AC13" i="16"/>
  <c r="W6" i="16"/>
  <c r="W4" i="16"/>
  <c r="H8" i="16"/>
  <c r="H13" i="16"/>
  <c r="AF7" i="16"/>
  <c r="AF5" i="16"/>
  <c r="AI15" i="16"/>
  <c r="AI10" i="16"/>
  <c r="N4" i="16"/>
  <c r="N6" i="16"/>
  <c r="AC12" i="16"/>
  <c r="AC7" i="16"/>
  <c r="AC14" i="16"/>
  <c r="AC9" i="16"/>
  <c r="AI13" i="15"/>
  <c r="AI8" i="15"/>
  <c r="AI11" i="15"/>
  <c r="AI16" i="15"/>
  <c r="T15" i="15"/>
  <c r="T10" i="15"/>
  <c r="N6" i="15"/>
  <c r="N4" i="15"/>
  <c r="H12" i="15"/>
  <c r="H7" i="15"/>
  <c r="N7" i="15"/>
  <c r="N5" i="15"/>
  <c r="AI9" i="15"/>
  <c r="AI14" i="15"/>
  <c r="AC7" i="15"/>
  <c r="AC12" i="15"/>
  <c r="W6" i="15"/>
  <c r="W4" i="15"/>
  <c r="AI7" i="15"/>
  <c r="AI12" i="15"/>
  <c r="Z10" i="15"/>
  <c r="Z15" i="15"/>
  <c r="Z8" i="15"/>
  <c r="Z13" i="15"/>
  <c r="E5" i="15"/>
  <c r="E7" i="15"/>
  <c r="AC15" i="15"/>
  <c r="AC10" i="15"/>
  <c r="AC14" i="15"/>
  <c r="AC9" i="15"/>
  <c r="Z14" i="15"/>
  <c r="Z9" i="15"/>
  <c r="T13" i="15"/>
  <c r="T8" i="15"/>
  <c r="AF7" i="15"/>
  <c r="AF5" i="15"/>
  <c r="AC16" i="15"/>
  <c r="AC11" i="15"/>
  <c r="W7" i="15"/>
  <c r="W5" i="15"/>
  <c r="H14" i="15"/>
  <c r="H9" i="15"/>
  <c r="H8" i="15"/>
  <c r="H13" i="15"/>
  <c r="H10" i="15"/>
  <c r="H15" i="15"/>
  <c r="E6" i="15"/>
  <c r="E4" i="15"/>
  <c r="N5" i="12"/>
  <c r="N7" i="12"/>
  <c r="AF7" i="12"/>
  <c r="AF5" i="12"/>
  <c r="E7" i="12"/>
  <c r="E5" i="12"/>
  <c r="W7" i="12"/>
  <c r="W5" i="12"/>
  <c r="H13" i="11"/>
  <c r="H8" i="11"/>
  <c r="N5" i="11"/>
  <c r="N7" i="11"/>
  <c r="W7" i="11"/>
  <c r="W5" i="11"/>
  <c r="H7" i="11"/>
  <c r="H12" i="11"/>
  <c r="AC10" i="11"/>
  <c r="AF7" i="11"/>
  <c r="AF5" i="11"/>
  <c r="E7" i="11"/>
  <c r="E5" i="11"/>
  <c r="H15" i="11"/>
  <c r="H10" i="11"/>
  <c r="T11" i="10"/>
  <c r="E7" i="10"/>
  <c r="E5" i="10"/>
  <c r="T7" i="10"/>
  <c r="AF7" i="10"/>
  <c r="AF5" i="10"/>
  <c r="N7" i="10"/>
  <c r="N5" i="10"/>
  <c r="T10" i="10"/>
  <c r="N6" i="10"/>
  <c r="N4" i="10"/>
  <c r="W7" i="10"/>
  <c r="W5" i="10"/>
  <c r="T8" i="10"/>
  <c r="E4" i="11" l="1"/>
  <c r="E6" i="11"/>
  <c r="G47" i="11" s="1"/>
  <c r="E6" i="9"/>
  <c r="G47" i="9" s="1"/>
  <c r="E4" i="9"/>
  <c r="G51" i="9"/>
  <c r="E6" i="12"/>
  <c r="G47" i="12" s="1"/>
  <c r="E2" i="10"/>
  <c r="AF4" i="12"/>
  <c r="AF6" i="12"/>
  <c r="AF6" i="10"/>
  <c r="AF4" i="10"/>
  <c r="W6" i="9"/>
  <c r="W4" i="9"/>
  <c r="W6" i="12"/>
  <c r="W4" i="12"/>
  <c r="AF4" i="9"/>
  <c r="AF6" i="9"/>
  <c r="N4" i="9"/>
  <c r="N6" i="9"/>
  <c r="W4" i="11"/>
  <c r="W6" i="11"/>
  <c r="N6" i="11"/>
  <c r="N4" i="11"/>
  <c r="W4" i="10"/>
  <c r="W6" i="10"/>
  <c r="N6" i="12"/>
  <c r="N4" i="12"/>
  <c r="AF4" i="11"/>
  <c r="E6" i="21"/>
  <c r="E4" i="21"/>
  <c r="E6" i="20"/>
  <c r="E4" i="20"/>
  <c r="E4" i="19"/>
  <c r="K6" i="21"/>
  <c r="K4" i="21"/>
  <c r="H6" i="19"/>
  <c r="H4" i="19"/>
  <c r="K4" i="19"/>
  <c r="K6" i="19"/>
  <c r="N6" i="20"/>
  <c r="N4" i="20"/>
  <c r="N6" i="19"/>
  <c r="N4" i="19"/>
  <c r="N6" i="18"/>
  <c r="N4" i="18"/>
  <c r="H6" i="21"/>
  <c r="H4" i="21"/>
  <c r="N6" i="21"/>
  <c r="N4" i="21"/>
  <c r="H4" i="20"/>
  <c r="H6" i="20"/>
  <c r="K6" i="20"/>
  <c r="K4" i="20"/>
  <c r="H2" i="18"/>
  <c r="H4" i="18" s="1"/>
  <c r="K2" i="18"/>
  <c r="K4" i="18" s="1"/>
  <c r="AF4" i="15"/>
  <c r="AF6" i="15"/>
  <c r="AF4" i="14"/>
  <c r="AF6" i="14"/>
  <c r="AF6" i="16"/>
  <c r="AF4" i="16"/>
  <c r="AF6" i="17"/>
  <c r="AF4" i="17"/>
  <c r="N7" i="18"/>
  <c r="K6" i="18"/>
  <c r="K3" i="18"/>
  <c r="E6" i="18"/>
  <c r="E4" i="18"/>
  <c r="E3" i="18"/>
  <c r="E6" i="10" l="1"/>
  <c r="G47" i="10" s="1"/>
  <c r="E4" i="10"/>
  <c r="H6" i="18"/>
  <c r="K5" i="18"/>
  <c r="K7" i="18"/>
  <c r="E7" i="18"/>
  <c r="E5" i="18"/>
</calcChain>
</file>

<file path=xl/sharedStrings.xml><?xml version="1.0" encoding="utf-8"?>
<sst xmlns="http://schemas.openxmlformats.org/spreadsheetml/2006/main" count="9782" uniqueCount="223">
  <si>
    <t>C</t>
  </si>
  <si>
    <t>lambda</t>
  </si>
  <si>
    <t>K</t>
  </si>
  <si>
    <t>Fam</t>
  </si>
  <si>
    <t>Cs-137+D</t>
  </si>
  <si>
    <t>F surf</t>
  </si>
  <si>
    <t>Am-241</t>
  </si>
  <si>
    <t>Resident</t>
  </si>
  <si>
    <t>Worker</t>
  </si>
  <si>
    <t>HL (TR)</t>
  </si>
  <si>
    <t>years</t>
  </si>
  <si>
    <t>mrem/pCi</t>
  </si>
  <si>
    <t>IRA iw</t>
  </si>
  <si>
    <t>EF iw</t>
  </si>
  <si>
    <t>ET iw</t>
  </si>
  <si>
    <t>ED iw</t>
  </si>
  <si>
    <t>GSF i</t>
  </si>
  <si>
    <t>SA iw</t>
  </si>
  <si>
    <t>FQ iw</t>
  </si>
  <si>
    <t>Ra-226+D</t>
  </si>
  <si>
    <t>Rn-222+D</t>
  </si>
  <si>
    <t>DL</t>
  </si>
  <si>
    <t>DCF i</t>
  </si>
  <si>
    <t>DCF ext gp</t>
  </si>
  <si>
    <t>cm^2</t>
  </si>
  <si>
    <t>m^3</t>
  </si>
  <si>
    <t>m^3/day</t>
  </si>
  <si>
    <t>Foffset</t>
  </si>
  <si>
    <t>ED</t>
  </si>
  <si>
    <t>Dfi</t>
  </si>
  <si>
    <t>ACF</t>
  </si>
  <si>
    <t>SLF</t>
  </si>
  <si>
    <t>cm^2/kg</t>
  </si>
  <si>
    <t>PEFw</t>
  </si>
  <si>
    <t>m^3/kg</t>
  </si>
  <si>
    <t>Q/Cw</t>
  </si>
  <si>
    <t>V</t>
  </si>
  <si>
    <t>Um</t>
  </si>
  <si>
    <t>Ut</t>
  </si>
  <si>
    <t>F(x)</t>
  </si>
  <si>
    <t>A</t>
  </si>
  <si>
    <t>As</t>
  </si>
  <si>
    <t>B</t>
  </si>
  <si>
    <t>PEFm-paved public default</t>
  </si>
  <si>
    <t>PEFm-paved public state</t>
  </si>
  <si>
    <t>PEFm-paved public site</t>
  </si>
  <si>
    <t>PEFm-unpaved public</t>
  </si>
  <si>
    <t>PEFm-unpaved industrial</t>
  </si>
  <si>
    <t>CA-res</t>
  </si>
  <si>
    <t>CA-work</t>
  </si>
  <si>
    <t>TN-res</t>
  </si>
  <si>
    <t>TN-work</t>
  </si>
  <si>
    <t>Q/Cm</t>
  </si>
  <si>
    <t>Fd</t>
  </si>
  <si>
    <t>tc</t>
  </si>
  <si>
    <t>AR</t>
  </si>
  <si>
    <t>LR</t>
  </si>
  <si>
    <t>WR</t>
  </si>
  <si>
    <t>T</t>
  </si>
  <si>
    <t>sL</t>
  </si>
  <si>
    <t>s</t>
  </si>
  <si>
    <t>W</t>
  </si>
  <si>
    <t>M</t>
  </si>
  <si>
    <t>S</t>
  </si>
  <si>
    <t>k-pp</t>
  </si>
  <si>
    <t>k</t>
  </si>
  <si>
    <t>p</t>
  </si>
  <si>
    <t>k-ui</t>
  </si>
  <si>
    <t>LS</t>
  </si>
  <si>
    <t>number cars</t>
  </si>
  <si>
    <t>AVK: CA urban interstate</t>
  </si>
  <si>
    <t>AVK: TN rural interstate</t>
  </si>
  <si>
    <t>tons/car</t>
  </si>
  <si>
    <t>Km: CA urban interstate</t>
  </si>
  <si>
    <t>Km:TN rural interstate</t>
  </si>
  <si>
    <t>number trucks</t>
  </si>
  <si>
    <t>tons/truck</t>
  </si>
  <si>
    <t>total vehic</t>
  </si>
  <si>
    <t>km/trip</t>
  </si>
  <si>
    <t>trip/day</t>
  </si>
  <si>
    <t>wk/yr</t>
  </si>
  <si>
    <t>day/wk</t>
  </si>
  <si>
    <t>SF ext sv</t>
  </si>
  <si>
    <t>SF ext gp</t>
  </si>
  <si>
    <t>SF ext 1cm</t>
  </si>
  <si>
    <t>SF ext 5cm</t>
  </si>
  <si>
    <t>SF ext 15 cm</t>
  </si>
  <si>
    <t>EF</t>
  </si>
  <si>
    <t>GSFi</t>
  </si>
  <si>
    <t>ET</t>
  </si>
  <si>
    <t>Fsurf</t>
  </si>
  <si>
    <t>surfaces</t>
  </si>
  <si>
    <t>ING</t>
  </si>
  <si>
    <t>EXT</t>
  </si>
  <si>
    <t>(pCi/cm²)</t>
  </si>
  <si>
    <t>tennessee</t>
  </si>
  <si>
    <t>rural</t>
  </si>
  <si>
    <t>interstate</t>
  </si>
  <si>
    <t>PEFm</t>
  </si>
  <si>
    <t>GSF s</t>
  </si>
  <si>
    <t>1 bq =</t>
  </si>
  <si>
    <t>pCi</t>
  </si>
  <si>
    <t>Mass</t>
  </si>
  <si>
    <t>g/mol</t>
  </si>
  <si>
    <t>SSL</t>
  </si>
  <si>
    <r>
      <rPr>
        <b/>
        <sz val="10"/>
        <rFont val="Arial"/>
        <family val="2"/>
      </rPr>
      <t>bq</t>
    </r>
    <r>
      <rPr>
        <sz val="10"/>
        <rFont val="Arial"/>
        <family val="2"/>
      </rPr>
      <t>/g</t>
    </r>
  </si>
  <si>
    <r>
      <rPr>
        <b/>
        <sz val="10"/>
        <rFont val="Arial"/>
        <family val="2"/>
      </rPr>
      <t>bq</t>
    </r>
    <r>
      <rPr>
        <sz val="10"/>
        <rFont val="Arial"/>
        <family val="2"/>
      </rPr>
      <t>/cm2</t>
    </r>
  </si>
  <si>
    <r>
      <t>mg</t>
    </r>
    <r>
      <rPr>
        <sz val="10"/>
        <rFont val="Arial"/>
        <family val="2"/>
      </rPr>
      <t>/kg</t>
    </r>
  </si>
  <si>
    <r>
      <rPr>
        <b/>
        <sz val="10"/>
        <rFont val="Arial"/>
        <family val="2"/>
      </rPr>
      <t>pCi</t>
    </r>
    <r>
      <rPr>
        <sz val="10"/>
        <rFont val="Arial"/>
        <family val="2"/>
      </rPr>
      <t>/g</t>
    </r>
  </si>
  <si>
    <r>
      <rPr>
        <b/>
        <sz val="10"/>
        <rFont val="Arial"/>
        <family val="2"/>
      </rPr>
      <t>pCi</t>
    </r>
    <r>
      <rPr>
        <sz val="10"/>
        <rFont val="Arial"/>
      </rPr>
      <t>/g</t>
    </r>
  </si>
  <si>
    <r>
      <rPr>
        <b/>
        <sz val="10"/>
        <rFont val="Arial"/>
        <family val="2"/>
      </rPr>
      <t>pCi</t>
    </r>
    <r>
      <rPr>
        <sz val="10"/>
        <rFont val="Arial"/>
        <family val="2"/>
      </rPr>
      <t>/cm2</t>
    </r>
  </si>
  <si>
    <t>x</t>
  </si>
  <si>
    <t>When the following variables, hi-lighted in green below, are changed, each value in the rest of the sheet will also change.</t>
  </si>
  <si>
    <t>DCF ext sv</t>
  </si>
  <si>
    <t>DCF ext 1cm</t>
  </si>
  <si>
    <t>DCF ext 5cm</t>
  </si>
  <si>
    <t>DCF ext 15 cm</t>
  </si>
  <si>
    <t>DCF sub</t>
  </si>
  <si>
    <t>half life in years</t>
  </si>
  <si>
    <t>SE</t>
  </si>
  <si>
    <t>cm²/event</t>
  </si>
  <si>
    <t>m³/day</t>
  </si>
  <si>
    <t>ET w</t>
  </si>
  <si>
    <t>ET h, iw</t>
  </si>
  <si>
    <t>ET s, iw</t>
  </si>
  <si>
    <t>ED res</t>
  </si>
  <si>
    <t>decay</t>
  </si>
  <si>
    <t>IRA ow</t>
  </si>
  <si>
    <t>EF ow</t>
  </si>
  <si>
    <t>ED ow</t>
  </si>
  <si>
    <t>SA ow</t>
  </si>
  <si>
    <t>FQ ow</t>
  </si>
  <si>
    <t>ET ow</t>
  </si>
  <si>
    <t>EF w</t>
  </si>
  <si>
    <t>IRA w</t>
  </si>
  <si>
    <t>ED w</t>
  </si>
  <si>
    <t>SA w</t>
  </si>
  <si>
    <t>FQ w</t>
  </si>
  <si>
    <t>mrem/year</t>
  </si>
  <si>
    <t>F cd</t>
  </si>
  <si>
    <t>t iw</t>
  </si>
  <si>
    <t>ACF sv</t>
  </si>
  <si>
    <t>ACF gp</t>
  </si>
  <si>
    <t>ACF 1 cm</t>
  </si>
  <si>
    <t>ACF 5 cm</t>
  </si>
  <si>
    <t>ACF 15 cm</t>
  </si>
  <si>
    <t>SA res-c</t>
  </si>
  <si>
    <t>SA res-a</t>
  </si>
  <si>
    <t>IRA res-c</t>
  </si>
  <si>
    <t>IRA res-a</t>
  </si>
  <si>
    <t>FQ res-c</t>
  </si>
  <si>
    <t>FQ res-a</t>
  </si>
  <si>
    <t>ET res-c</t>
  </si>
  <si>
    <t>ET res-a</t>
  </si>
  <si>
    <t>ET res</t>
  </si>
  <si>
    <t>EF res</t>
  </si>
  <si>
    <t>EF res-c</t>
  </si>
  <si>
    <t>EF res-a</t>
  </si>
  <si>
    <t>ET res-c,h</t>
  </si>
  <si>
    <t>ET res-a,h</t>
  </si>
  <si>
    <t>ET res-o</t>
  </si>
  <si>
    <t>ET res-i</t>
  </si>
  <si>
    <t>FTSS h</t>
  </si>
  <si>
    <t>AAF res-a</t>
  </si>
  <si>
    <t>AAF res-c</t>
  </si>
  <si>
    <t>INH w</t>
  </si>
  <si>
    <t>INH m</t>
  </si>
  <si>
    <r>
      <rPr>
        <sz val="10"/>
        <rFont val="Arial"/>
        <family val="2"/>
      </rPr>
      <t>∑</t>
    </r>
    <r>
      <rPr>
        <sz val="10"/>
        <rFont val="Arial"/>
      </rPr>
      <t>VKT</t>
    </r>
  </si>
  <si>
    <t>Composite Worker 2-D</t>
  </si>
  <si>
    <t>Outdoor Worker 2-D</t>
  </si>
  <si>
    <t>Indoor Worker 2-D</t>
  </si>
  <si>
    <t>Resident :  Dust, Total</t>
  </si>
  <si>
    <t>Composite Worker :  Dust, Total</t>
  </si>
  <si>
    <t>Outdoor Worker :  Dust, Total</t>
  </si>
  <si>
    <t>Indoor Worker :  Dust, Total</t>
  </si>
  <si>
    <t>mechanical</t>
  </si>
  <si>
    <r>
      <t>pCi/</t>
    </r>
    <r>
      <rPr>
        <sz val="10"/>
        <rFont val="Arial"/>
        <family val="2"/>
      </rPr>
      <t>cm^2</t>
    </r>
  </si>
  <si>
    <t>wind</t>
  </si>
  <si>
    <r>
      <t>bq/</t>
    </r>
    <r>
      <rPr>
        <sz val="10"/>
        <rFont val="Arial"/>
        <family val="2"/>
      </rPr>
      <t>cm^2</t>
    </r>
  </si>
  <si>
    <r>
      <t>mg/</t>
    </r>
    <r>
      <rPr>
        <sz val="10"/>
        <rFont val="Arial"/>
        <family val="2"/>
      </rPr>
      <t>cm^2</t>
    </r>
  </si>
  <si>
    <t>Composite Work</t>
  </si>
  <si>
    <t>Outdoor Work</t>
  </si>
  <si>
    <t>Indoor Work</t>
  </si>
  <si>
    <t>ET h, ow</t>
  </si>
  <si>
    <t>ET s, ow</t>
  </si>
  <si>
    <t>ET h, w</t>
  </si>
  <si>
    <t>ET s, w</t>
  </si>
  <si>
    <t>Resident :  3-D</t>
  </si>
  <si>
    <t>Resident :  2-D</t>
  </si>
  <si>
    <t>Composite Worker :  3-D</t>
  </si>
  <si>
    <t>Outdoor Worker :  3-D</t>
  </si>
  <si>
    <t>Indoor Worker :  3-D</t>
  </si>
  <si>
    <t>Q/Cw calc.</t>
  </si>
  <si>
    <t>Default</t>
  </si>
  <si>
    <t>slab = 200</t>
  </si>
  <si>
    <t>total vehicles</t>
  </si>
  <si>
    <t>slab size = 200</t>
  </si>
  <si>
    <t>near wall</t>
  </si>
  <si>
    <t>mrem/year per pCi/g</t>
  </si>
  <si>
    <t>mrem/year per pCi/cm²</t>
  </si>
  <si>
    <t>mrem/year per pCi/m³</t>
  </si>
  <si>
    <t>(mrem/year)/(pCi/cm²)</t>
  </si>
  <si>
    <t>day/year</t>
  </si>
  <si>
    <t>hour/day</t>
  </si>
  <si>
    <t>event/hour</t>
  </si>
  <si>
    <t>year</t>
  </si>
  <si>
    <r>
      <t xml:space="preserve">t </t>
    </r>
    <r>
      <rPr>
        <vertAlign val="subscript"/>
        <sz val="12"/>
        <rFont val="Arial"/>
        <family val="2"/>
      </rPr>
      <t>res</t>
    </r>
  </si>
  <si>
    <t>t w</t>
  </si>
  <si>
    <t>t ow</t>
  </si>
  <si>
    <t>DCF o</t>
  </si>
  <si>
    <t>DCF oa</t>
  </si>
  <si>
    <t>All sheets ending in SS are used for site-specific QA/QC. Many of the green cells beneath resident and indoor worker have been changed. These sheets are only used for testing the functions of the code and do not reflect default exposure parameters.</t>
  </si>
  <si>
    <t>Cell Color</t>
  </si>
  <si>
    <t>Meaning</t>
  </si>
  <si>
    <t>If the cell is yellow, then it is a calculated value using the cells within that column.</t>
  </si>
  <si>
    <t>If the cell is green, then it is a default or fixed value. If changed, this value will update throughout the entire sheet.</t>
  </si>
  <si>
    <t>*Please Note that all of the landuses have also been assigned a respective color.</t>
  </si>
  <si>
    <t>IRD w</t>
  </si>
  <si>
    <t>IRD ow</t>
  </si>
  <si>
    <t>IRD iw</t>
  </si>
  <si>
    <t>IFD res-adj</t>
  </si>
  <si>
    <t>IFA res-adj</t>
  </si>
  <si>
    <r>
      <rPr>
        <b/>
        <sz val="10"/>
        <rFont val="Arial"/>
        <family val="2"/>
      </rPr>
      <t>mg</t>
    </r>
    <r>
      <rPr>
        <sz val="10"/>
        <rFont val="Arial"/>
        <family val="2"/>
      </rPr>
      <t>/cm2</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</si>
</sst>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0.0"/>
    <numFmt numFmtId="165" formatCode="0.000"/>
    <numFmt numFmtId="166" formatCode="0.0000"/>
  </numFmts>
  <fonts count="32" x14ac:knownFonts="1">
    <font>
      <sz val="10"/>
      <name val="Arial"/>
    </font>
    <font>
      <b/>
      <sz val="10"/>
      <name val="Arial"/>
      <family val="2"/>
    </font>
    <font>
      <sz val="10"/>
      <name val="Arial"/>
      <family val="2"/>
    </font>
    <font>
      <sz val="11"/>
      <name val="Arial"/>
      <family val="2"/>
    </font>
    <font>
      <b/>
      <sz val="11"/>
      <name val="Arial"/>
      <family val="2"/>
    </font>
    <font>
      <b/>
      <sz val="14"/>
      <name val="Arial"/>
      <family val="2"/>
    </font>
    <font>
      <b/>
      <i/>
      <sz val="10"/>
      <name val="Arial"/>
      <family val="2"/>
    </font>
    <font>
      <sz val="11"/>
      <color indexed="8"/>
      <name val="Calibri"/>
      <family val="2"/>
    </font>
    <font>
      <sz val="10"/>
      <name val="Arial"/>
      <family val="2"/>
      <charset val="1"/>
    </font>
    <font>
      <b/>
      <sz val="12"/>
      <name val="Arial"/>
      <family val="2"/>
    </font>
    <font>
      <vertAlign val="subscript"/>
      <sz val="12"/>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color rgb="FF008080"/>
      <name val="Arial"/>
      <family val="2"/>
    </font>
    <font>
      <sz val="9"/>
      <color rgb="FF000000"/>
      <name val="Arial"/>
      <family val="2"/>
    </font>
    <font>
      <sz val="10"/>
      <color theme="1"/>
      <name val="Arial"/>
      <family val="2"/>
    </font>
    <font>
      <b/>
      <sz val="16"/>
      <color theme="0"/>
      <name val="Arial"/>
      <family val="2"/>
    </font>
  </fonts>
  <fills count="57">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4" tint="0.79998168889431442"/>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rgb="FFFFFFCC"/>
        <bgColor indexed="64"/>
      </patternFill>
    </fill>
    <fill>
      <patternFill patternType="solid">
        <fgColor theme="6" tint="0.79998168889431442"/>
        <bgColor indexed="64"/>
      </patternFill>
    </fill>
    <fill>
      <patternFill patternType="solid">
        <fgColor rgb="FFA4D7A1"/>
        <bgColor indexed="64"/>
      </patternFill>
    </fill>
    <fill>
      <patternFill patternType="solid">
        <fgColor rgb="FFFFFF00"/>
        <bgColor indexed="64"/>
      </patternFill>
    </fill>
    <fill>
      <patternFill patternType="solid">
        <fgColor theme="7" tint="0.59999389629810485"/>
        <bgColor indexed="64"/>
      </patternFill>
    </fill>
    <fill>
      <patternFill patternType="solid">
        <fgColor theme="5" tint="0.59999389629810485"/>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rgb="FFFF0000"/>
        <bgColor indexed="64"/>
      </patternFill>
    </fill>
    <fill>
      <patternFill patternType="solid">
        <fgColor rgb="FF0066FF"/>
        <bgColor indexed="64"/>
      </patternFill>
    </fill>
    <fill>
      <patternFill patternType="solid">
        <fgColor rgb="FF9900FF"/>
        <bgColor indexed="64"/>
      </patternFill>
    </fill>
    <fill>
      <patternFill patternType="solid">
        <fgColor rgb="FFCC0099"/>
        <bgColor indexed="64"/>
      </patternFill>
    </fill>
    <fill>
      <patternFill patternType="solid">
        <fgColor theme="8" tint="0.39997558519241921"/>
        <bgColor indexed="64"/>
      </patternFill>
    </fill>
    <fill>
      <patternFill patternType="solid">
        <fgColor theme="5" tint="0.39997558519241921"/>
        <bgColor indexed="64"/>
      </patternFill>
    </fill>
    <fill>
      <patternFill patternType="solid">
        <fgColor theme="7" tint="0.39997558519241921"/>
        <bgColor indexed="64"/>
      </patternFill>
    </fill>
    <fill>
      <patternFill patternType="solid">
        <fgColor theme="9" tint="0.39997558519241921"/>
        <bgColor indexed="64"/>
      </patternFill>
    </fill>
    <fill>
      <patternFill patternType="solid">
        <fgColor theme="4" tint="0.39997558519241921"/>
        <bgColor indexed="64"/>
      </patternFill>
    </fill>
    <fill>
      <patternFill patternType="solid">
        <fgColor rgb="FFFFFF66"/>
        <bgColor indexed="64"/>
      </patternFill>
    </fill>
    <fill>
      <patternFill patternType="solid">
        <fgColor theme="6" tint="0.39997558519241921"/>
        <bgColor indexed="64"/>
      </patternFill>
    </fill>
  </fills>
  <borders count="64">
    <border>
      <left/>
      <right/>
      <top/>
      <bottom/>
      <diagonal/>
    </border>
    <border>
      <left style="thin">
        <color indexed="64"/>
      </left>
      <right style="thick">
        <color indexed="64"/>
      </right>
      <top style="thick">
        <color indexed="64"/>
      </top>
      <bottom/>
      <diagonal/>
    </border>
    <border>
      <left style="thick">
        <color indexed="64"/>
      </left>
      <right/>
      <top style="thick">
        <color indexed="64"/>
      </top>
      <bottom/>
      <diagonal/>
    </border>
    <border>
      <left style="medium">
        <color indexed="64"/>
      </left>
      <right style="thick">
        <color indexed="64"/>
      </right>
      <top style="thick">
        <color indexed="64"/>
      </top>
      <bottom/>
      <diagonal/>
    </border>
    <border>
      <left style="thick">
        <color indexed="64"/>
      </left>
      <right/>
      <top/>
      <bottom/>
      <diagonal/>
    </border>
    <border>
      <left style="medium">
        <color indexed="64"/>
      </left>
      <right style="thick">
        <color indexed="64"/>
      </right>
      <top/>
      <bottom/>
      <diagonal/>
    </border>
    <border>
      <left style="thick">
        <color indexed="64"/>
      </left>
      <right/>
      <top/>
      <bottom style="thick">
        <color indexed="64"/>
      </bottom>
      <diagonal/>
    </border>
    <border>
      <left style="medium">
        <color indexed="64"/>
      </left>
      <right style="thick">
        <color indexed="64"/>
      </right>
      <top/>
      <bottom style="thick">
        <color indexed="64"/>
      </bottom>
      <diagonal/>
    </border>
    <border>
      <left style="thick">
        <color indexed="64"/>
      </left>
      <right style="thin">
        <color indexed="64"/>
      </right>
      <top style="thick">
        <color indexed="64"/>
      </top>
      <bottom/>
      <diagonal/>
    </border>
    <border>
      <left style="medium">
        <color indexed="64"/>
      </left>
      <right/>
      <top/>
      <bottom/>
      <diagonal/>
    </border>
    <border>
      <left/>
      <right style="thick">
        <color indexed="64"/>
      </right>
      <top/>
      <bottom/>
      <diagonal/>
    </border>
    <border>
      <left/>
      <right/>
      <top/>
      <bottom style="thick">
        <color indexed="64"/>
      </bottom>
      <diagonal/>
    </border>
    <border>
      <left style="medium">
        <color indexed="64"/>
      </left>
      <right/>
      <top/>
      <bottom style="thick">
        <color indexed="64"/>
      </bottom>
      <diagonal/>
    </border>
    <border>
      <left/>
      <right style="thick">
        <color indexed="64"/>
      </right>
      <top/>
      <bottom style="thick">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medium">
        <color indexed="64"/>
      </right>
      <top/>
      <bottom style="medium">
        <color indexed="64"/>
      </bottom>
      <diagonal/>
    </border>
    <border>
      <left/>
      <right style="medium">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style="medium">
        <color indexed="64"/>
      </right>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top style="thick">
        <color indexed="64"/>
      </top>
      <bottom style="thin">
        <color indexed="64"/>
      </bottom>
      <diagonal/>
    </border>
    <border>
      <left/>
      <right/>
      <top style="thick">
        <color indexed="64"/>
      </top>
      <bottom/>
      <diagonal/>
    </border>
    <border>
      <left style="medium">
        <color indexed="64"/>
      </left>
      <right/>
      <top style="thick">
        <color indexed="64"/>
      </top>
      <bottom/>
      <diagonal/>
    </border>
    <border>
      <left/>
      <right style="thick">
        <color indexed="64"/>
      </right>
      <top style="thick">
        <color indexed="64"/>
      </top>
      <bottom/>
      <diagonal/>
    </border>
    <border>
      <left/>
      <right style="thick">
        <color indexed="64"/>
      </right>
      <top style="thin">
        <color indexed="64"/>
      </top>
      <bottom style="thick">
        <color indexed="64"/>
      </bottom>
      <diagonal/>
    </border>
    <border>
      <left/>
      <right/>
      <top style="thin">
        <color indexed="64"/>
      </top>
      <bottom style="thick">
        <color indexed="64"/>
      </bottom>
      <diagonal/>
    </border>
    <border>
      <left style="thick">
        <color indexed="64"/>
      </left>
      <right/>
      <top style="thin">
        <color indexed="64"/>
      </top>
      <bottom style="thick">
        <color indexed="64"/>
      </bottom>
      <diagonal/>
    </border>
    <border>
      <left style="thick">
        <color indexed="64"/>
      </left>
      <right style="thick">
        <color indexed="64"/>
      </right>
      <top style="thick">
        <color indexed="64"/>
      </top>
      <bottom style="thick">
        <color indexed="64"/>
      </bottom>
      <diagonal/>
    </border>
    <border>
      <left style="thick">
        <color indexed="64"/>
      </left>
      <right/>
      <top style="thick">
        <color indexed="64"/>
      </top>
      <bottom style="thin">
        <color indexed="64"/>
      </bottom>
      <diagonal/>
    </border>
    <border>
      <left/>
      <right style="thick">
        <color indexed="64"/>
      </right>
      <top style="thick">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ck">
        <color indexed="64"/>
      </top>
      <bottom/>
      <diagonal/>
    </border>
    <border>
      <left/>
      <right style="medium">
        <color indexed="64"/>
      </right>
      <top/>
      <bottom style="thick">
        <color indexed="64"/>
      </bottom>
      <diagonal/>
    </border>
    <border>
      <left/>
      <right/>
      <top style="medium">
        <color indexed="64"/>
      </top>
      <bottom/>
      <diagonal/>
    </border>
    <border>
      <left style="thick">
        <color indexed="64"/>
      </left>
      <right/>
      <top style="medium">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403">
    <xf numFmtId="0" fontId="0" fillId="0" borderId="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9" borderId="0" applyNumberFormat="0" applyBorder="0" applyAlignment="0" applyProtection="0"/>
    <xf numFmtId="0" fontId="12" fillId="20" borderId="0" applyNumberFormat="0" applyBorder="0" applyAlignment="0" applyProtection="0"/>
    <xf numFmtId="0" fontId="12" fillId="21" borderId="0" applyNumberFormat="0" applyBorder="0" applyAlignment="0" applyProtection="0"/>
    <xf numFmtId="0" fontId="12" fillId="22" borderId="0" applyNumberFormat="0" applyBorder="0" applyAlignment="0" applyProtection="0"/>
    <xf numFmtId="0" fontId="12" fillId="23" borderId="0" applyNumberFormat="0" applyBorder="0" applyAlignment="0" applyProtection="0"/>
    <xf numFmtId="0" fontId="12" fillId="24" borderId="0" applyNumberFormat="0" applyBorder="0" applyAlignment="0" applyProtection="0"/>
    <xf numFmtId="0" fontId="12" fillId="25" borderId="0" applyNumberFormat="0" applyBorder="0" applyAlignment="0" applyProtection="0"/>
    <xf numFmtId="0" fontId="13" fillId="26" borderId="0" applyNumberFormat="0" applyBorder="0" applyAlignment="0" applyProtection="0"/>
    <xf numFmtId="0" fontId="14" fillId="27" borderId="55" applyNumberFormat="0" applyAlignment="0" applyProtection="0"/>
    <xf numFmtId="0" fontId="15" fillId="28" borderId="56" applyNumberFormat="0" applyAlignment="0" applyProtection="0"/>
    <xf numFmtId="43" fontId="2" fillId="0" borderId="0" applyFill="0" applyBorder="0" applyAlignment="0" applyProtection="0"/>
    <xf numFmtId="0" fontId="8" fillId="0" borderId="0"/>
    <xf numFmtId="0" fontId="2" fillId="0" borderId="0"/>
    <xf numFmtId="0" fontId="2" fillId="0" borderId="0"/>
    <xf numFmtId="0" fontId="16" fillId="0" borderId="0" applyNumberFormat="0" applyFill="0" applyBorder="0" applyAlignment="0" applyProtection="0"/>
    <xf numFmtId="0" fontId="17" fillId="29" borderId="0" applyNumberFormat="0" applyBorder="0" applyAlignment="0" applyProtection="0"/>
    <xf numFmtId="0" fontId="18" fillId="0" borderId="57" applyNumberFormat="0" applyFill="0" applyAlignment="0" applyProtection="0"/>
    <xf numFmtId="0" fontId="19" fillId="0" borderId="58" applyNumberFormat="0" applyFill="0" applyAlignment="0" applyProtection="0"/>
    <xf numFmtId="0" fontId="20" fillId="0" borderId="59" applyNumberFormat="0" applyFill="0" applyAlignment="0" applyProtection="0"/>
    <xf numFmtId="0" fontId="20" fillId="0" borderId="0" applyNumberFormat="0" applyFill="0" applyBorder="0" applyAlignment="0" applyProtection="0"/>
    <xf numFmtId="0" fontId="21" fillId="30" borderId="55" applyNumberFormat="0" applyAlignment="0" applyProtection="0"/>
    <xf numFmtId="0" fontId="22" fillId="0" borderId="60" applyNumberFormat="0" applyFill="0" applyAlignment="0" applyProtection="0"/>
    <xf numFmtId="0" fontId="23" fillId="31" borderId="0" applyNumberFormat="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11" fillId="0" borderId="0"/>
    <xf numFmtId="0" fontId="2" fillId="0" borderId="0"/>
    <xf numFmtId="0" fontId="2" fillId="0" borderId="0"/>
    <xf numFmtId="0" fontId="7" fillId="32" borderId="61" applyNumberFormat="0" applyFont="0" applyAlignment="0" applyProtection="0"/>
    <xf numFmtId="0" fontId="24" fillId="27" borderId="62" applyNumberFormat="0" applyAlignment="0" applyProtection="0"/>
    <xf numFmtId="0" fontId="25" fillId="0" borderId="0" applyNumberFormat="0" applyFill="0" applyBorder="0" applyAlignment="0" applyProtection="0"/>
    <xf numFmtId="0" fontId="26" fillId="0" borderId="63" applyNumberFormat="0" applyFill="0" applyAlignment="0" applyProtection="0"/>
    <xf numFmtId="0" fontId="27" fillId="0" borderId="0" applyNumberFormat="0" applyFill="0" applyBorder="0" applyAlignment="0" applyProtection="0"/>
  </cellStyleXfs>
  <cellXfs count="449">
    <xf numFmtId="0" fontId="0" fillId="0" borderId="0" xfId="0"/>
    <xf numFmtId="0" fontId="3" fillId="0" borderId="0" xfId="0" applyFont="1"/>
    <xf numFmtId="0" fontId="3" fillId="0" borderId="0" xfId="0" applyFont="1" applyFill="1"/>
    <xf numFmtId="11" fontId="6" fillId="33" borderId="1" xfId="0" applyNumberFormat="1" applyFont="1" applyFill="1" applyBorder="1" applyAlignment="1">
      <alignment horizontal="center" vertical="center"/>
    </xf>
    <xf numFmtId="0" fontId="0" fillId="0" borderId="2" xfId="0" applyBorder="1"/>
    <xf numFmtId="0" fontId="0" fillId="0" borderId="3" xfId="0" applyBorder="1"/>
    <xf numFmtId="0" fontId="0" fillId="0" borderId="4" xfId="0" applyBorder="1"/>
    <xf numFmtId="0" fontId="0" fillId="0" borderId="5" xfId="0" applyBorder="1"/>
    <xf numFmtId="0" fontId="0" fillId="0" borderId="6" xfId="0" applyBorder="1"/>
    <xf numFmtId="0" fontId="0" fillId="0" borderId="7" xfId="0" applyBorder="1"/>
    <xf numFmtId="0" fontId="1" fillId="34" borderId="2" xfId="0" applyFont="1" applyFill="1" applyBorder="1" applyAlignment="1">
      <alignment horizontal="center" vertical="center"/>
    </xf>
    <xf numFmtId="11" fontId="6" fillId="34" borderId="1" xfId="0" applyNumberFormat="1" applyFont="1" applyFill="1" applyBorder="1" applyAlignment="1">
      <alignment horizontal="center" vertical="center"/>
    </xf>
    <xf numFmtId="0" fontId="1" fillId="35" borderId="2" xfId="0" applyFont="1" applyFill="1" applyBorder="1" applyAlignment="1">
      <alignment horizontal="center" vertical="center"/>
    </xf>
    <xf numFmtId="11" fontId="6" fillId="35" borderId="1" xfId="0" applyNumberFormat="1" applyFont="1" applyFill="1" applyBorder="1" applyAlignment="1">
      <alignment horizontal="center" vertical="center"/>
    </xf>
    <xf numFmtId="0" fontId="1" fillId="36" borderId="8" xfId="0" applyFont="1" applyFill="1" applyBorder="1" applyAlignment="1">
      <alignment horizontal="center" vertical="center"/>
    </xf>
    <xf numFmtId="11" fontId="6" fillId="36" borderId="1" xfId="0" applyNumberFormat="1" applyFont="1" applyFill="1" applyBorder="1" applyAlignment="1">
      <alignment horizontal="center" vertical="center"/>
    </xf>
    <xf numFmtId="0" fontId="1" fillId="37" borderId="8" xfId="0" applyFont="1" applyFill="1" applyBorder="1" applyAlignment="1">
      <alignment horizontal="center" vertical="center"/>
    </xf>
    <xf numFmtId="11" fontId="6" fillId="37" borderId="1" xfId="0" applyNumberFormat="1" applyFont="1" applyFill="1" applyBorder="1" applyAlignment="1">
      <alignment horizontal="center" vertical="center"/>
    </xf>
    <xf numFmtId="0" fontId="1" fillId="38" borderId="8" xfId="0" applyFont="1" applyFill="1" applyBorder="1" applyAlignment="1">
      <alignment horizontal="center" vertical="center"/>
    </xf>
    <xf numFmtId="11" fontId="6" fillId="38" borderId="1" xfId="0" applyNumberFormat="1" applyFont="1" applyFill="1" applyBorder="1" applyAlignment="1">
      <alignment horizontal="center" vertical="center"/>
    </xf>
    <xf numFmtId="0" fontId="0" fillId="0" borderId="0" xfId="0" applyBorder="1"/>
    <xf numFmtId="0" fontId="0" fillId="0" borderId="9" xfId="0" applyBorder="1"/>
    <xf numFmtId="0" fontId="0" fillId="0" borderId="10" xfId="0" applyBorder="1"/>
    <xf numFmtId="0" fontId="2" fillId="0" borderId="4" xfId="0" applyFont="1" applyBorder="1"/>
    <xf numFmtId="0" fontId="2" fillId="0" borderId="9" xfId="0" applyFont="1" applyBorder="1"/>
    <xf numFmtId="0" fontId="0" fillId="0" borderId="11" xfId="0" applyBorder="1"/>
    <xf numFmtId="0" fontId="0" fillId="0" borderId="12" xfId="0" applyBorder="1"/>
    <xf numFmtId="0" fontId="0" fillId="0" borderId="13" xfId="0" applyBorder="1"/>
    <xf numFmtId="0" fontId="2" fillId="0" borderId="0" xfId="0" applyFont="1"/>
    <xf numFmtId="0" fontId="0" fillId="0" borderId="0" xfId="0" applyFill="1"/>
    <xf numFmtId="0" fontId="0" fillId="0" borderId="0" xfId="0" applyAlignment="1"/>
    <xf numFmtId="0" fontId="1" fillId="0" borderId="0" xfId="0" applyFont="1"/>
    <xf numFmtId="0" fontId="2" fillId="0" borderId="0" xfId="0" applyFont="1" applyAlignment="1">
      <alignment horizontal="center"/>
    </xf>
    <xf numFmtId="0" fontId="2" fillId="0" borderId="0" xfId="0" applyFont="1" applyFill="1" applyBorder="1"/>
    <xf numFmtId="0" fontId="0" fillId="0" borderId="4" xfId="0" applyFont="1" applyFill="1" applyBorder="1"/>
    <xf numFmtId="166" fontId="0" fillId="0" borderId="5" xfId="0" applyNumberFormat="1" applyBorder="1"/>
    <xf numFmtId="2" fontId="0" fillId="0" borderId="5" xfId="0" applyNumberFormat="1" applyBorder="1"/>
    <xf numFmtId="0" fontId="2" fillId="0" borderId="0" xfId="397"/>
    <xf numFmtId="0" fontId="2" fillId="0" borderId="0" xfId="397" applyFont="1" applyFill="1" applyAlignment="1">
      <alignment vertical="center"/>
    </xf>
    <xf numFmtId="0" fontId="2" fillId="0" borderId="0" xfId="397" applyAlignment="1">
      <alignment vertical="center"/>
    </xf>
    <xf numFmtId="0" fontId="2" fillId="0" borderId="0" xfId="397" applyFont="1" applyAlignment="1">
      <alignment vertical="center"/>
    </xf>
    <xf numFmtId="0" fontId="2" fillId="0" borderId="0" xfId="397" applyFont="1" applyFill="1" applyBorder="1" applyAlignment="1">
      <alignment vertical="center"/>
    </xf>
    <xf numFmtId="0" fontId="28" fillId="39" borderId="0" xfId="397" applyFont="1" applyFill="1" applyAlignment="1">
      <alignment horizontal="center" vertical="center"/>
    </xf>
    <xf numFmtId="11" fontId="2" fillId="0" borderId="0" xfId="0" applyNumberFormat="1" applyFont="1" applyAlignment="1">
      <alignment horizontal="center"/>
    </xf>
    <xf numFmtId="0" fontId="2" fillId="0" borderId="0" xfId="0" applyFont="1" applyAlignment="1"/>
    <xf numFmtId="11" fontId="2" fillId="40" borderId="14" xfId="0" applyNumberFormat="1" applyFont="1" applyFill="1" applyBorder="1" applyAlignment="1">
      <alignment horizontal="center"/>
    </xf>
    <xf numFmtId="11" fontId="2" fillId="40" borderId="15" xfId="0" applyNumberFormat="1" applyFont="1" applyFill="1" applyBorder="1" applyAlignment="1">
      <alignment horizontal="center"/>
    </xf>
    <xf numFmtId="11" fontId="2" fillId="40" borderId="16" xfId="0" applyNumberFormat="1" applyFont="1" applyFill="1" applyBorder="1" applyAlignment="1">
      <alignment horizontal="center"/>
    </xf>
    <xf numFmtId="0" fontId="2" fillId="41" borderId="17" xfId="0" applyFont="1" applyFill="1" applyBorder="1"/>
    <xf numFmtId="0" fontId="2" fillId="41" borderId="18" xfId="0" applyFont="1" applyFill="1" applyBorder="1"/>
    <xf numFmtId="0" fontId="2" fillId="42" borderId="18" xfId="0" applyFont="1" applyFill="1" applyBorder="1"/>
    <xf numFmtId="11" fontId="2" fillId="40" borderId="0" xfId="0" applyNumberFormat="1" applyFont="1" applyFill="1" applyAlignment="1">
      <alignment horizontal="center"/>
    </xf>
    <xf numFmtId="11" fontId="28" fillId="39" borderId="0" xfId="0" applyNumberFormat="1" applyFont="1" applyFill="1" applyAlignment="1">
      <alignment horizontal="center"/>
    </xf>
    <xf numFmtId="11" fontId="2" fillId="0" borderId="0" xfId="0" applyNumberFormat="1" applyFont="1" applyFill="1" applyAlignment="1">
      <alignment horizontal="center"/>
    </xf>
    <xf numFmtId="0" fontId="2" fillId="0" borderId="0" xfId="0" applyFont="1" applyFill="1"/>
    <xf numFmtId="0" fontId="28" fillId="39" borderId="0" xfId="0" applyFont="1" applyFill="1" applyAlignment="1">
      <alignment horizontal="center"/>
    </xf>
    <xf numFmtId="0" fontId="3" fillId="0" borderId="0" xfId="0" applyFont="1" applyFill="1" applyBorder="1"/>
    <xf numFmtId="0" fontId="2" fillId="0" borderId="0" xfId="396" applyFont="1" applyFill="1" applyAlignment="1">
      <alignment vertical="center"/>
    </xf>
    <xf numFmtId="0" fontId="2" fillId="0" borderId="0" xfId="396" applyFont="1" applyAlignment="1">
      <alignment vertical="center"/>
    </xf>
    <xf numFmtId="0" fontId="2" fillId="0" borderId="0" xfId="396" applyFont="1" applyFill="1" applyBorder="1" applyAlignment="1">
      <alignment vertical="center"/>
    </xf>
    <xf numFmtId="0" fontId="2" fillId="0" borderId="19" xfId="0" applyFont="1" applyBorder="1"/>
    <xf numFmtId="1" fontId="2" fillId="40" borderId="20" xfId="0" applyNumberFormat="1" applyFont="1" applyFill="1" applyBorder="1" applyAlignment="1">
      <alignment horizontal="center"/>
    </xf>
    <xf numFmtId="0" fontId="2" fillId="0" borderId="21" xfId="0" applyFont="1" applyBorder="1"/>
    <xf numFmtId="0" fontId="2" fillId="0" borderId="22" xfId="0" applyFont="1" applyBorder="1"/>
    <xf numFmtId="0" fontId="2" fillId="40" borderId="0" xfId="0" applyFont="1" applyFill="1" applyBorder="1" applyAlignment="1">
      <alignment horizontal="center"/>
    </xf>
    <xf numFmtId="0" fontId="2" fillId="0" borderId="23" xfId="0" applyFont="1" applyBorder="1"/>
    <xf numFmtId="0" fontId="2" fillId="0" borderId="0" xfId="0" applyFont="1" applyBorder="1" applyAlignment="1">
      <alignment horizontal="center"/>
    </xf>
    <xf numFmtId="0" fontId="2" fillId="0" borderId="22" xfId="397" applyFont="1" applyBorder="1" applyAlignment="1">
      <alignment vertical="center"/>
    </xf>
    <xf numFmtId="0" fontId="2" fillId="0" borderId="24" xfId="0" applyFont="1" applyBorder="1"/>
    <xf numFmtId="0" fontId="2" fillId="0" borderId="25" xfId="0" applyFont="1" applyBorder="1" applyAlignment="1">
      <alignment horizontal="center"/>
    </xf>
    <xf numFmtId="0" fontId="2" fillId="0" borderId="26" xfId="0" applyFont="1" applyBorder="1"/>
    <xf numFmtId="0" fontId="2" fillId="40" borderId="20" xfId="0" applyFont="1" applyFill="1" applyBorder="1" applyAlignment="1">
      <alignment horizontal="center"/>
    </xf>
    <xf numFmtId="0" fontId="29" fillId="0" borderId="0" xfId="0" applyFont="1"/>
    <xf numFmtId="0" fontId="2" fillId="0" borderId="20" xfId="0" applyFont="1" applyBorder="1"/>
    <xf numFmtId="0" fontId="2" fillId="0" borderId="0" xfId="0" applyFont="1" applyBorder="1"/>
    <xf numFmtId="0" fontId="0" fillId="43" borderId="27" xfId="0" applyFont="1" applyFill="1" applyBorder="1"/>
    <xf numFmtId="0" fontId="2" fillId="43" borderId="18" xfId="0" applyFont="1" applyFill="1" applyBorder="1"/>
    <xf numFmtId="0" fontId="0" fillId="43" borderId="9" xfId="0" applyFont="1" applyFill="1" applyBorder="1"/>
    <xf numFmtId="0" fontId="2" fillId="43" borderId="28" xfId="0" applyFont="1" applyFill="1" applyBorder="1"/>
    <xf numFmtId="0" fontId="0" fillId="43" borderId="29" xfId="0" applyFont="1" applyFill="1" applyBorder="1"/>
    <xf numFmtId="0" fontId="2" fillId="43" borderId="17" xfId="0" applyFont="1" applyFill="1" applyBorder="1"/>
    <xf numFmtId="0" fontId="1" fillId="43" borderId="18" xfId="0" applyFont="1" applyFill="1" applyBorder="1"/>
    <xf numFmtId="0" fontId="1" fillId="43" borderId="28" xfId="0" applyFont="1" applyFill="1" applyBorder="1"/>
    <xf numFmtId="0" fontId="1" fillId="43" borderId="17" xfId="0" applyFont="1" applyFill="1" applyBorder="1"/>
    <xf numFmtId="0" fontId="0" fillId="41" borderId="27" xfId="0" applyFont="1" applyFill="1" applyBorder="1"/>
    <xf numFmtId="0" fontId="0" fillId="41" borderId="9" xfId="0" applyFont="1" applyFill="1" applyBorder="1"/>
    <xf numFmtId="0" fontId="2" fillId="41" borderId="28" xfId="0" applyFont="1" applyFill="1" applyBorder="1"/>
    <xf numFmtId="0" fontId="0" fillId="41" borderId="29" xfId="0" applyFont="1" applyFill="1" applyBorder="1"/>
    <xf numFmtId="0" fontId="1" fillId="41" borderId="18" xfId="0" applyFont="1" applyFill="1" applyBorder="1"/>
    <xf numFmtId="0" fontId="1" fillId="41" borderId="28" xfId="0" applyFont="1" applyFill="1" applyBorder="1"/>
    <xf numFmtId="0" fontId="1" fillId="41" borderId="17" xfId="0" applyFont="1" applyFill="1" applyBorder="1"/>
    <xf numFmtId="0" fontId="0" fillId="44" borderId="27" xfId="0" applyFont="1" applyFill="1" applyBorder="1"/>
    <xf numFmtId="0" fontId="2" fillId="44" borderId="18" xfId="0" applyFont="1" applyFill="1" applyBorder="1"/>
    <xf numFmtId="0" fontId="0" fillId="44" borderId="9" xfId="0" applyFont="1" applyFill="1" applyBorder="1"/>
    <xf numFmtId="0" fontId="2" fillId="44" borderId="28" xfId="0" applyFont="1" applyFill="1" applyBorder="1"/>
    <xf numFmtId="0" fontId="0" fillId="44" borderId="29" xfId="0" applyFont="1" applyFill="1" applyBorder="1"/>
    <xf numFmtId="0" fontId="2" fillId="44" borderId="17" xfId="0" applyFont="1" applyFill="1" applyBorder="1"/>
    <xf numFmtId="0" fontId="1" fillId="44" borderId="18" xfId="0" applyFont="1" applyFill="1" applyBorder="1"/>
    <xf numFmtId="0" fontId="1" fillId="44" borderId="28" xfId="0" applyFont="1" applyFill="1" applyBorder="1"/>
    <xf numFmtId="0" fontId="1" fillId="44" borderId="17" xfId="0" applyFont="1" applyFill="1" applyBorder="1"/>
    <xf numFmtId="0" fontId="1" fillId="35" borderId="9" xfId="394" applyFont="1" applyFill="1" applyBorder="1"/>
    <xf numFmtId="0" fontId="1" fillId="35" borderId="29" xfId="394" applyFont="1" applyFill="1" applyBorder="1"/>
    <xf numFmtId="0" fontId="1" fillId="35" borderId="18" xfId="394" applyFont="1" applyFill="1" applyBorder="1"/>
    <xf numFmtId="0" fontId="1" fillId="35" borderId="17" xfId="394" applyFont="1" applyFill="1" applyBorder="1"/>
    <xf numFmtId="0" fontId="1" fillId="34" borderId="9" xfId="394" applyFont="1" applyFill="1" applyBorder="1"/>
    <xf numFmtId="0" fontId="1" fillId="34" borderId="29" xfId="394" applyFont="1" applyFill="1" applyBorder="1"/>
    <xf numFmtId="0" fontId="1" fillId="34" borderId="18" xfId="394" applyFont="1" applyFill="1" applyBorder="1"/>
    <xf numFmtId="0" fontId="1" fillId="34" borderId="17" xfId="394" applyFont="1" applyFill="1" applyBorder="1"/>
    <xf numFmtId="0" fontId="1" fillId="45" borderId="9" xfId="394" applyFont="1" applyFill="1" applyBorder="1"/>
    <xf numFmtId="0" fontId="1" fillId="45" borderId="29" xfId="394" applyFont="1" applyFill="1" applyBorder="1"/>
    <xf numFmtId="0" fontId="1" fillId="45" borderId="18" xfId="394" applyFont="1" applyFill="1" applyBorder="1"/>
    <xf numFmtId="0" fontId="1" fillId="45" borderId="17" xfId="394" applyFont="1" applyFill="1" applyBorder="1"/>
    <xf numFmtId="11" fontId="1" fillId="45" borderId="15" xfId="394" applyNumberFormat="1" applyFont="1" applyFill="1" applyBorder="1" applyAlignment="1">
      <alignment horizontal="center"/>
    </xf>
    <xf numFmtId="11" fontId="1" fillId="45" borderId="30" xfId="394" applyNumberFormat="1" applyFont="1" applyFill="1" applyBorder="1" applyAlignment="1">
      <alignment horizontal="center"/>
    </xf>
    <xf numFmtId="11" fontId="1" fillId="35" borderId="15" xfId="394" applyNumberFormat="1" applyFont="1" applyFill="1" applyBorder="1" applyAlignment="1">
      <alignment horizontal="center"/>
    </xf>
    <xf numFmtId="11" fontId="1" fillId="35" borderId="30" xfId="394" applyNumberFormat="1" applyFont="1" applyFill="1" applyBorder="1" applyAlignment="1">
      <alignment horizontal="center"/>
    </xf>
    <xf numFmtId="11" fontId="1" fillId="34" borderId="15" xfId="394" applyNumberFormat="1" applyFont="1" applyFill="1" applyBorder="1" applyAlignment="1">
      <alignment horizontal="center"/>
    </xf>
    <xf numFmtId="11" fontId="1" fillId="34" borderId="30" xfId="394" applyNumberFormat="1" applyFont="1" applyFill="1" applyBorder="1" applyAlignment="1">
      <alignment horizontal="center"/>
    </xf>
    <xf numFmtId="0" fontId="1" fillId="36" borderId="9" xfId="394" applyFont="1" applyFill="1" applyBorder="1"/>
    <xf numFmtId="11" fontId="1" fillId="36" borderId="15" xfId="394" applyNumberFormat="1" applyFont="1" applyFill="1" applyBorder="1" applyAlignment="1">
      <alignment horizontal="center"/>
    </xf>
    <xf numFmtId="0" fontId="1" fillId="36" borderId="29" xfId="394" applyFont="1" applyFill="1" applyBorder="1"/>
    <xf numFmtId="11" fontId="1" fillId="36" borderId="30" xfId="394" applyNumberFormat="1" applyFont="1" applyFill="1" applyBorder="1" applyAlignment="1">
      <alignment horizontal="center"/>
    </xf>
    <xf numFmtId="0" fontId="1" fillId="36" borderId="18" xfId="394" applyFont="1" applyFill="1" applyBorder="1"/>
    <xf numFmtId="0" fontId="1" fillId="36" borderId="17" xfId="394" applyFont="1" applyFill="1" applyBorder="1"/>
    <xf numFmtId="0" fontId="1" fillId="35" borderId="29" xfId="394" applyFont="1" applyFill="1" applyBorder="1"/>
    <xf numFmtId="0" fontId="1" fillId="35" borderId="18" xfId="394" applyFont="1" applyFill="1" applyBorder="1"/>
    <xf numFmtId="0" fontId="1" fillId="35" borderId="17" xfId="394" applyFont="1" applyFill="1" applyBorder="1"/>
    <xf numFmtId="0" fontId="1" fillId="34" borderId="29" xfId="394" applyFont="1" applyFill="1" applyBorder="1"/>
    <xf numFmtId="0" fontId="1" fillId="34" borderId="18" xfId="394" applyFont="1" applyFill="1" applyBorder="1"/>
    <xf numFmtId="0" fontId="1" fillId="34" borderId="17" xfId="394" applyFont="1" applyFill="1" applyBorder="1"/>
    <xf numFmtId="0" fontId="1" fillId="45" borderId="29" xfId="394" applyFont="1" applyFill="1" applyBorder="1"/>
    <xf numFmtId="0" fontId="1" fillId="45" borderId="18" xfId="394" applyFont="1" applyFill="1" applyBorder="1"/>
    <xf numFmtId="0" fontId="1" fillId="45" borderId="17" xfId="394" applyFont="1" applyFill="1" applyBorder="1"/>
    <xf numFmtId="11" fontId="1" fillId="45" borderId="30" xfId="394" applyNumberFormat="1" applyFont="1" applyFill="1" applyBorder="1" applyAlignment="1">
      <alignment horizontal="center"/>
    </xf>
    <xf numFmtId="11" fontId="1" fillId="35" borderId="30" xfId="394" applyNumberFormat="1" applyFont="1" applyFill="1" applyBorder="1" applyAlignment="1">
      <alignment horizontal="center"/>
    </xf>
    <xf numFmtId="11" fontId="1" fillId="34" borderId="30" xfId="394" applyNumberFormat="1" applyFont="1" applyFill="1" applyBorder="1" applyAlignment="1">
      <alignment horizontal="center"/>
    </xf>
    <xf numFmtId="0" fontId="1" fillId="36" borderId="29" xfId="394" applyFont="1" applyFill="1" applyBorder="1"/>
    <xf numFmtId="11" fontId="1" fillId="36" borderId="30" xfId="394" applyNumberFormat="1" applyFont="1" applyFill="1" applyBorder="1" applyAlignment="1">
      <alignment horizontal="center"/>
    </xf>
    <xf numFmtId="0" fontId="1" fillId="36" borderId="18" xfId="394" applyFont="1" applyFill="1" applyBorder="1"/>
    <xf numFmtId="0" fontId="1" fillId="36" borderId="17" xfId="394" applyFont="1" applyFill="1" applyBorder="1"/>
    <xf numFmtId="0" fontId="1" fillId="44" borderId="28" xfId="394" applyFont="1" applyFill="1" applyBorder="1"/>
    <xf numFmtId="0" fontId="1" fillId="44" borderId="17" xfId="394" applyFont="1" applyFill="1" applyBorder="1"/>
    <xf numFmtId="0" fontId="1" fillId="42" borderId="28" xfId="394" applyFont="1" applyFill="1" applyBorder="1"/>
    <xf numFmtId="0" fontId="1" fillId="42" borderId="17" xfId="394" applyFont="1" applyFill="1" applyBorder="1"/>
    <xf numFmtId="0" fontId="1" fillId="44" borderId="9" xfId="394" applyFont="1" applyFill="1" applyBorder="1"/>
    <xf numFmtId="0" fontId="1" fillId="44" borderId="29" xfId="394" applyFont="1" applyFill="1" applyBorder="1"/>
    <xf numFmtId="0" fontId="1" fillId="44" borderId="18" xfId="394" applyFont="1" applyFill="1" applyBorder="1"/>
    <xf numFmtId="0" fontId="1" fillId="42" borderId="9" xfId="394" applyFont="1" applyFill="1" applyBorder="1"/>
    <xf numFmtId="0" fontId="1" fillId="42" borderId="29" xfId="394" applyFont="1" applyFill="1" applyBorder="1"/>
    <xf numFmtId="0" fontId="1" fillId="42" borderId="18" xfId="394" applyFont="1" applyFill="1" applyBorder="1"/>
    <xf numFmtId="0" fontId="28" fillId="39" borderId="15" xfId="397" applyFont="1" applyFill="1" applyBorder="1" applyAlignment="1">
      <alignment horizontal="center" vertical="center"/>
    </xf>
    <xf numFmtId="11" fontId="28" fillId="39" borderId="15" xfId="396" applyNumberFormat="1" applyFont="1" applyFill="1" applyBorder="1" applyAlignment="1">
      <alignment vertical="center"/>
    </xf>
    <xf numFmtId="0" fontId="1" fillId="41" borderId="28" xfId="394" applyFont="1" applyFill="1" applyBorder="1"/>
    <xf numFmtId="0" fontId="1" fillId="41" borderId="9" xfId="394" applyFont="1" applyFill="1" applyBorder="1"/>
    <xf numFmtId="0" fontId="1" fillId="41" borderId="29" xfId="394" applyFont="1" applyFill="1" applyBorder="1"/>
    <xf numFmtId="0" fontId="1" fillId="41" borderId="18" xfId="394" applyFont="1" applyFill="1" applyBorder="1"/>
    <xf numFmtId="0" fontId="1" fillId="41" borderId="17" xfId="394" applyFont="1" applyFill="1" applyBorder="1"/>
    <xf numFmtId="0" fontId="1" fillId="43" borderId="28" xfId="394" applyFont="1" applyFill="1" applyBorder="1"/>
    <xf numFmtId="0" fontId="1" fillId="43" borderId="9" xfId="394" applyFont="1" applyFill="1" applyBorder="1"/>
    <xf numFmtId="0" fontId="1" fillId="43" borderId="29" xfId="394" applyFont="1" applyFill="1" applyBorder="1"/>
    <xf numFmtId="11" fontId="1" fillId="41" borderId="15" xfId="394" applyNumberFormat="1" applyFont="1" applyFill="1" applyBorder="1" applyAlignment="1">
      <alignment horizontal="center"/>
    </xf>
    <xf numFmtId="11" fontId="1" fillId="42" borderId="15" xfId="394" applyNumberFormat="1" applyFont="1" applyFill="1" applyBorder="1" applyAlignment="1">
      <alignment horizontal="center"/>
    </xf>
    <xf numFmtId="11" fontId="1" fillId="44" borderId="15" xfId="394" applyNumberFormat="1" applyFont="1" applyFill="1" applyBorder="1" applyAlignment="1">
      <alignment horizontal="center"/>
    </xf>
    <xf numFmtId="11" fontId="1" fillId="41" borderId="31" xfId="394" applyNumberFormat="1" applyFont="1" applyFill="1" applyBorder="1" applyAlignment="1">
      <alignment horizontal="center"/>
    </xf>
    <xf numFmtId="11" fontId="1" fillId="42" borderId="31" xfId="394" applyNumberFormat="1" applyFont="1" applyFill="1" applyBorder="1" applyAlignment="1">
      <alignment horizontal="center"/>
    </xf>
    <xf numFmtId="11" fontId="1" fillId="44" borderId="31" xfId="394" applyNumberFormat="1" applyFont="1" applyFill="1" applyBorder="1" applyAlignment="1">
      <alignment horizontal="center"/>
    </xf>
    <xf numFmtId="0" fontId="28" fillId="39" borderId="0" xfId="397" applyNumberFormat="1" applyFont="1" applyFill="1" applyAlignment="1">
      <alignment horizontal="center" vertical="center"/>
    </xf>
    <xf numFmtId="0" fontId="1" fillId="43" borderId="18" xfId="394" applyFont="1" applyFill="1" applyBorder="1"/>
    <xf numFmtId="0" fontId="1" fillId="43" borderId="17" xfId="394" applyFont="1" applyFill="1" applyBorder="1"/>
    <xf numFmtId="11" fontId="1" fillId="41" borderId="30" xfId="394" applyNumberFormat="1" applyFont="1" applyFill="1" applyBorder="1" applyAlignment="1">
      <alignment horizontal="center"/>
    </xf>
    <xf numFmtId="11" fontId="1" fillId="43" borderId="15" xfId="394" applyNumberFormat="1" applyFont="1" applyFill="1" applyBorder="1" applyAlignment="1">
      <alignment horizontal="center"/>
    </xf>
    <xf numFmtId="11" fontId="1" fillId="43" borderId="30" xfId="394" applyNumberFormat="1" applyFont="1" applyFill="1" applyBorder="1" applyAlignment="1">
      <alignment horizontal="center"/>
    </xf>
    <xf numFmtId="11" fontId="1" fillId="43" borderId="31" xfId="394" applyNumberFormat="1" applyFont="1" applyFill="1" applyBorder="1" applyAlignment="1">
      <alignment horizontal="center"/>
    </xf>
    <xf numFmtId="11" fontId="1" fillId="44" borderId="30" xfId="394" applyNumberFormat="1" applyFont="1" applyFill="1" applyBorder="1" applyAlignment="1">
      <alignment horizontal="center"/>
    </xf>
    <xf numFmtId="11" fontId="1" fillId="42" borderId="30" xfId="394" applyNumberFormat="1" applyFont="1" applyFill="1" applyBorder="1" applyAlignment="1">
      <alignment horizontal="center"/>
    </xf>
    <xf numFmtId="0" fontId="0" fillId="42" borderId="27" xfId="0" applyFont="1" applyFill="1" applyBorder="1"/>
    <xf numFmtId="0" fontId="0" fillId="42" borderId="9" xfId="0" applyFont="1" applyFill="1" applyBorder="1"/>
    <xf numFmtId="0" fontId="2" fillId="42" borderId="28" xfId="0" applyFont="1" applyFill="1" applyBorder="1"/>
    <xf numFmtId="0" fontId="0" fillId="42" borderId="29" xfId="0" applyFont="1" applyFill="1" applyBorder="1"/>
    <xf numFmtId="0" fontId="2" fillId="42" borderId="17" xfId="0" applyFont="1" applyFill="1" applyBorder="1"/>
    <xf numFmtId="0" fontId="1" fillId="42" borderId="18" xfId="0" applyFont="1" applyFill="1" applyBorder="1"/>
    <xf numFmtId="0" fontId="1" fillId="42" borderId="28" xfId="0" applyFont="1" applyFill="1" applyBorder="1"/>
    <xf numFmtId="0" fontId="1" fillId="42" borderId="17" xfId="0" applyFont="1" applyFill="1" applyBorder="1"/>
    <xf numFmtId="0" fontId="1" fillId="41" borderId="27" xfId="394" applyFont="1" applyFill="1" applyBorder="1"/>
    <xf numFmtId="0" fontId="1" fillId="44" borderId="27" xfId="394" applyFont="1" applyFill="1" applyBorder="1"/>
    <xf numFmtId="0" fontId="1" fillId="43" borderId="27" xfId="394" applyFont="1" applyFill="1" applyBorder="1"/>
    <xf numFmtId="0" fontId="1" fillId="42" borderId="27" xfId="394" applyFont="1" applyFill="1" applyBorder="1"/>
    <xf numFmtId="11" fontId="28" fillId="39" borderId="15" xfId="397" applyNumberFormat="1" applyFont="1" applyFill="1" applyBorder="1" applyAlignment="1">
      <alignment vertical="center"/>
    </xf>
    <xf numFmtId="0" fontId="28" fillId="39" borderId="14" xfId="0" applyFont="1" applyFill="1" applyBorder="1" applyAlignment="1">
      <alignment horizontal="center"/>
    </xf>
    <xf numFmtId="11" fontId="28" fillId="39" borderId="15" xfId="396" applyNumberFormat="1" applyFont="1" applyFill="1" applyBorder="1" applyAlignment="1">
      <alignment vertical="center" wrapText="1"/>
    </xf>
    <xf numFmtId="0" fontId="28" fillId="39" borderId="32" xfId="0" applyFont="1" applyFill="1" applyBorder="1" applyAlignment="1">
      <alignment horizontal="center"/>
    </xf>
    <xf numFmtId="11" fontId="28" fillId="39" borderId="16" xfId="396" applyNumberFormat="1" applyFont="1" applyFill="1" applyBorder="1" applyAlignment="1">
      <alignment vertical="center" wrapText="1"/>
    </xf>
    <xf numFmtId="11" fontId="0" fillId="0" borderId="0" xfId="0" applyNumberFormat="1" applyBorder="1"/>
    <xf numFmtId="11" fontId="0" fillId="0" borderId="4" xfId="0" applyNumberFormat="1" applyBorder="1"/>
    <xf numFmtId="11" fontId="0" fillId="0" borderId="9" xfId="0" applyNumberFormat="1" applyBorder="1"/>
    <xf numFmtId="11" fontId="0" fillId="0" borderId="10" xfId="0" applyNumberFormat="1" applyBorder="1"/>
    <xf numFmtId="11" fontId="2" fillId="0" borderId="9" xfId="0" applyNumberFormat="1" applyFont="1" applyBorder="1"/>
    <xf numFmtId="11" fontId="2" fillId="0" borderId="4" xfId="0" applyNumberFormat="1" applyFont="1" applyBorder="1"/>
    <xf numFmtId="165" fontId="0" fillId="0" borderId="4" xfId="0" applyNumberFormat="1" applyBorder="1"/>
    <xf numFmtId="165" fontId="0" fillId="0" borderId="0" xfId="0" applyNumberFormat="1" applyBorder="1"/>
    <xf numFmtId="165" fontId="0" fillId="0" borderId="9" xfId="0" applyNumberFormat="1" applyBorder="1"/>
    <xf numFmtId="165" fontId="0" fillId="0" borderId="10" xfId="0" applyNumberFormat="1" applyBorder="1"/>
    <xf numFmtId="2" fontId="0" fillId="0" borderId="33" xfId="0" applyNumberFormat="1" applyBorder="1"/>
    <xf numFmtId="2" fontId="0" fillId="0" borderId="34" xfId="0" applyNumberFormat="1" applyBorder="1"/>
    <xf numFmtId="2" fontId="0" fillId="0" borderId="35" xfId="0" applyNumberFormat="1" applyBorder="1"/>
    <xf numFmtId="2" fontId="0" fillId="0" borderId="2" xfId="0" applyNumberFormat="1" applyBorder="1"/>
    <xf numFmtId="0" fontId="1" fillId="33" borderId="2" xfId="0" applyFont="1" applyFill="1" applyBorder="1" applyAlignment="1">
      <alignment horizontal="center"/>
    </xf>
    <xf numFmtId="165" fontId="2" fillId="0" borderId="0" xfId="0" applyNumberFormat="1" applyFont="1" applyAlignment="1">
      <alignment horizontal="center"/>
    </xf>
    <xf numFmtId="165" fontId="2" fillId="0" borderId="0" xfId="0" applyNumberFormat="1" applyFont="1"/>
    <xf numFmtId="1" fontId="28" fillId="39" borderId="15" xfId="396" applyNumberFormat="1" applyFont="1" applyFill="1" applyBorder="1" applyAlignment="1">
      <alignment horizontal="center" vertical="center"/>
    </xf>
    <xf numFmtId="11" fontId="28" fillId="39" borderId="15" xfId="396" applyNumberFormat="1" applyFont="1" applyFill="1" applyBorder="1" applyAlignment="1">
      <alignment horizontal="center" vertical="center" wrapText="1"/>
    </xf>
    <xf numFmtId="11" fontId="28" fillId="39" borderId="15" xfId="396" applyNumberFormat="1" applyFont="1" applyFill="1" applyBorder="1" applyAlignment="1">
      <alignment horizontal="center" vertical="center"/>
    </xf>
    <xf numFmtId="11" fontId="1" fillId="34" borderId="31" xfId="394" applyNumberFormat="1" applyFont="1" applyFill="1" applyBorder="1" applyAlignment="1">
      <alignment horizontal="center"/>
    </xf>
    <xf numFmtId="0" fontId="1" fillId="36" borderId="27" xfId="394" applyFont="1" applyFill="1" applyBorder="1"/>
    <xf numFmtId="11" fontId="1" fillId="36" borderId="31" xfId="394" applyNumberFormat="1" applyFont="1" applyFill="1" applyBorder="1" applyAlignment="1">
      <alignment horizontal="center"/>
    </xf>
    <xf numFmtId="0" fontId="1" fillId="45" borderId="27" xfId="394" applyFont="1" applyFill="1" applyBorder="1"/>
    <xf numFmtId="11" fontId="1" fillId="45" borderId="31" xfId="394" applyNumberFormat="1" applyFont="1" applyFill="1" applyBorder="1" applyAlignment="1">
      <alignment horizontal="center"/>
    </xf>
    <xf numFmtId="0" fontId="1" fillId="35" borderId="27" xfId="394" applyFont="1" applyFill="1" applyBorder="1"/>
    <xf numFmtId="11" fontId="1" fillId="35" borderId="31" xfId="394" applyNumberFormat="1" applyFont="1" applyFill="1" applyBorder="1" applyAlignment="1">
      <alignment horizontal="center"/>
    </xf>
    <xf numFmtId="0" fontId="1" fillId="34" borderId="27" xfId="394" applyFont="1" applyFill="1" applyBorder="1"/>
    <xf numFmtId="11" fontId="0" fillId="0" borderId="0" xfId="0" applyNumberFormat="1" applyAlignment="1">
      <alignment horizontal="center"/>
    </xf>
    <xf numFmtId="0" fontId="0" fillId="0" borderId="0" xfId="0" applyAlignment="1">
      <alignment horizontal="center"/>
    </xf>
    <xf numFmtId="0" fontId="0" fillId="0" borderId="0" xfId="0" applyFill="1" applyAlignment="1">
      <alignment horizontal="center"/>
    </xf>
    <xf numFmtId="11" fontId="1" fillId="43" borderId="31" xfId="0" applyNumberFormat="1" applyFont="1" applyFill="1" applyBorder="1" applyAlignment="1">
      <alignment horizontal="center"/>
    </xf>
    <xf numFmtId="11" fontId="1" fillId="43" borderId="15" xfId="0" applyNumberFormat="1" applyFont="1" applyFill="1" applyBorder="1" applyAlignment="1">
      <alignment horizontal="center"/>
    </xf>
    <xf numFmtId="11" fontId="1" fillId="43" borderId="30" xfId="0" applyNumberFormat="1" applyFont="1" applyFill="1" applyBorder="1" applyAlignment="1">
      <alignment horizontal="center"/>
    </xf>
    <xf numFmtId="11" fontId="1" fillId="42" borderId="31" xfId="0" applyNumberFormat="1" applyFont="1" applyFill="1" applyBorder="1" applyAlignment="1">
      <alignment horizontal="center"/>
    </xf>
    <xf numFmtId="11" fontId="1" fillId="42" borderId="15" xfId="0" applyNumberFormat="1" applyFont="1" applyFill="1" applyBorder="1" applyAlignment="1">
      <alignment horizontal="center"/>
    </xf>
    <xf numFmtId="11" fontId="1" fillId="42" borderId="30" xfId="0" applyNumberFormat="1" applyFont="1" applyFill="1" applyBorder="1" applyAlignment="1">
      <alignment horizontal="center"/>
    </xf>
    <xf numFmtId="11" fontId="1" fillId="44" borderId="31" xfId="0" applyNumberFormat="1" applyFont="1" applyFill="1" applyBorder="1" applyAlignment="1">
      <alignment horizontal="center"/>
    </xf>
    <xf numFmtId="11" fontId="1" fillId="44" borderId="15" xfId="0" applyNumberFormat="1" applyFont="1" applyFill="1" applyBorder="1" applyAlignment="1">
      <alignment horizontal="center"/>
    </xf>
    <xf numFmtId="11" fontId="1" fillId="44" borderId="30" xfId="0" applyNumberFormat="1" applyFont="1" applyFill="1" applyBorder="1" applyAlignment="1">
      <alignment horizontal="center"/>
    </xf>
    <xf numFmtId="11" fontId="1" fillId="41" borderId="31" xfId="0" applyNumberFormat="1" applyFont="1" applyFill="1" applyBorder="1" applyAlignment="1">
      <alignment horizontal="center"/>
    </xf>
    <xf numFmtId="11" fontId="1" fillId="41" borderId="15" xfId="0" applyNumberFormat="1" applyFont="1" applyFill="1" applyBorder="1" applyAlignment="1">
      <alignment horizontal="center"/>
    </xf>
    <xf numFmtId="11" fontId="1" fillId="41" borderId="30" xfId="0" applyNumberFormat="1" applyFont="1" applyFill="1" applyBorder="1" applyAlignment="1">
      <alignment horizontal="center"/>
    </xf>
    <xf numFmtId="2" fontId="0" fillId="0" borderId="2" xfId="0" applyNumberFormat="1" applyFill="1" applyBorder="1"/>
    <xf numFmtId="2" fontId="0" fillId="0" borderId="33" xfId="0" applyNumberFormat="1" applyFill="1" applyBorder="1"/>
    <xf numFmtId="2" fontId="0" fillId="0" borderId="34" xfId="0" applyNumberFormat="1" applyFill="1" applyBorder="1"/>
    <xf numFmtId="2" fontId="0" fillId="0" borderId="35" xfId="0" applyNumberFormat="1" applyFill="1" applyBorder="1"/>
    <xf numFmtId="0" fontId="0" fillId="0" borderId="4" xfId="0" applyFill="1" applyBorder="1"/>
    <xf numFmtId="0" fontId="0" fillId="0" borderId="0" xfId="0" applyFill="1" applyBorder="1"/>
    <xf numFmtId="0" fontId="0" fillId="0" borderId="9" xfId="0" applyFill="1" applyBorder="1"/>
    <xf numFmtId="0" fontId="0" fillId="0" borderId="10" xfId="0" applyFill="1" applyBorder="1"/>
    <xf numFmtId="11" fontId="0" fillId="0" borderId="4" xfId="0" applyNumberFormat="1" applyFill="1" applyBorder="1"/>
    <xf numFmtId="11" fontId="0" fillId="0" borderId="0" xfId="0" applyNumberFormat="1" applyFill="1" applyBorder="1"/>
    <xf numFmtId="11" fontId="0" fillId="0" borderId="9" xfId="0" applyNumberFormat="1" applyFill="1" applyBorder="1"/>
    <xf numFmtId="11" fontId="0" fillId="0" borderId="10" xfId="0" applyNumberFormat="1" applyFill="1" applyBorder="1"/>
    <xf numFmtId="165" fontId="0" fillId="0" borderId="4" xfId="0" applyNumberFormat="1" applyFill="1" applyBorder="1"/>
    <xf numFmtId="165" fontId="0" fillId="0" borderId="0" xfId="0" applyNumberFormat="1" applyFill="1" applyBorder="1"/>
    <xf numFmtId="165" fontId="0" fillId="0" borderId="9" xfId="0" applyNumberFormat="1" applyFill="1" applyBorder="1"/>
    <xf numFmtId="165" fontId="0" fillId="0" borderId="10" xfId="0" applyNumberFormat="1" applyFill="1" applyBorder="1"/>
    <xf numFmtId="11" fontId="2" fillId="0" borderId="9" xfId="0" applyNumberFormat="1" applyFont="1" applyFill="1" applyBorder="1"/>
    <xf numFmtId="0" fontId="0" fillId="0" borderId="0" xfId="0" applyNumberFormat="1" applyFill="1" applyBorder="1"/>
    <xf numFmtId="0" fontId="0" fillId="0" borderId="6" xfId="0" applyFill="1" applyBorder="1"/>
    <xf numFmtId="0" fontId="0" fillId="0" borderId="11" xfId="0" applyFill="1" applyBorder="1"/>
    <xf numFmtId="0" fontId="0" fillId="0" borderId="12" xfId="0" applyFill="1" applyBorder="1"/>
    <xf numFmtId="0" fontId="0" fillId="0" borderId="13" xfId="0" applyFill="1" applyBorder="1"/>
    <xf numFmtId="0" fontId="2" fillId="0" borderId="4" xfId="0" applyFont="1" applyFill="1" applyBorder="1"/>
    <xf numFmtId="0" fontId="1" fillId="0" borderId="0" xfId="0" applyFont="1" applyAlignment="1">
      <alignment horizontal="left"/>
    </xf>
    <xf numFmtId="164" fontId="28" fillId="39" borderId="15" xfId="396" applyNumberFormat="1" applyFont="1" applyFill="1" applyBorder="1" applyAlignment="1">
      <alignment horizontal="center" vertical="center"/>
    </xf>
    <xf numFmtId="0" fontId="1" fillId="44" borderId="28" xfId="394" applyFont="1" applyFill="1" applyBorder="1"/>
    <xf numFmtId="0" fontId="1" fillId="44" borderId="17" xfId="394" applyFont="1" applyFill="1" applyBorder="1"/>
    <xf numFmtId="0" fontId="1" fillId="42" borderId="28" xfId="394" applyFont="1" applyFill="1" applyBorder="1"/>
    <xf numFmtId="0" fontId="1" fillId="42" borderId="17" xfId="394" applyFont="1" applyFill="1" applyBorder="1"/>
    <xf numFmtId="0" fontId="1" fillId="44" borderId="9" xfId="394" applyFont="1" applyFill="1" applyBorder="1"/>
    <xf numFmtId="0" fontId="1" fillId="44" borderId="29" xfId="394" applyFont="1" applyFill="1" applyBorder="1"/>
    <xf numFmtId="0" fontId="1" fillId="44" borderId="18" xfId="394" applyFont="1" applyFill="1" applyBorder="1"/>
    <xf numFmtId="0" fontId="1" fillId="42" borderId="9" xfId="394" applyFont="1" applyFill="1" applyBorder="1"/>
    <xf numFmtId="0" fontId="1" fillId="42" borderId="29" xfId="394" applyFont="1" applyFill="1" applyBorder="1"/>
    <xf numFmtId="0" fontId="1" fillId="42" borderId="18" xfId="394" applyFont="1" applyFill="1" applyBorder="1"/>
    <xf numFmtId="0" fontId="1" fillId="41" borderId="28" xfId="394" applyFont="1" applyFill="1" applyBorder="1"/>
    <xf numFmtId="0" fontId="1" fillId="41" borderId="9" xfId="394" applyFont="1" applyFill="1" applyBorder="1"/>
    <xf numFmtId="0" fontId="1" fillId="41" borderId="29" xfId="394" applyFont="1" applyFill="1" applyBorder="1"/>
    <xf numFmtId="0" fontId="1" fillId="41" borderId="18" xfId="394" applyFont="1" applyFill="1" applyBorder="1"/>
    <xf numFmtId="0" fontId="1" fillId="41" borderId="17" xfId="394" applyFont="1" applyFill="1" applyBorder="1"/>
    <xf numFmtId="0" fontId="1" fillId="43" borderId="28" xfId="394" applyFont="1" applyFill="1" applyBorder="1"/>
    <xf numFmtId="0" fontId="1" fillId="43" borderId="9" xfId="394" applyFont="1" applyFill="1" applyBorder="1"/>
    <xf numFmtId="0" fontId="1" fillId="43" borderId="29" xfId="394" applyFont="1" applyFill="1" applyBorder="1"/>
    <xf numFmtId="0" fontId="1" fillId="43" borderId="18" xfId="394" applyFont="1" applyFill="1" applyBorder="1"/>
    <xf numFmtId="0" fontId="1" fillId="43" borderId="17" xfId="394" applyFont="1" applyFill="1" applyBorder="1"/>
    <xf numFmtId="0" fontId="1" fillId="35" borderId="9" xfId="394" applyFont="1" applyFill="1" applyBorder="1"/>
    <xf numFmtId="0" fontId="1" fillId="35" borderId="29" xfId="394" applyFont="1" applyFill="1" applyBorder="1"/>
    <xf numFmtId="0" fontId="1" fillId="35" borderId="18" xfId="394" applyFont="1" applyFill="1" applyBorder="1"/>
    <xf numFmtId="0" fontId="1" fillId="35" borderId="17" xfId="394" applyFont="1" applyFill="1" applyBorder="1"/>
    <xf numFmtId="0" fontId="1" fillId="34" borderId="9" xfId="394" applyFont="1" applyFill="1" applyBorder="1"/>
    <xf numFmtId="0" fontId="1" fillId="34" borderId="29" xfId="394" applyFont="1" applyFill="1" applyBorder="1"/>
    <xf numFmtId="0" fontId="1" fillId="34" borderId="18" xfId="394" applyFont="1" applyFill="1" applyBorder="1"/>
    <xf numFmtId="0" fontId="1" fillId="34" borderId="17" xfId="394" applyFont="1" applyFill="1" applyBorder="1"/>
    <xf numFmtId="0" fontId="1" fillId="45" borderId="9" xfId="394" applyFont="1" applyFill="1" applyBorder="1"/>
    <xf numFmtId="0" fontId="1" fillId="45" borderId="29" xfId="394" applyFont="1" applyFill="1" applyBorder="1"/>
    <xf numFmtId="0" fontId="1" fillId="45" borderId="18" xfId="394" applyFont="1" applyFill="1" applyBorder="1"/>
    <xf numFmtId="0" fontId="1" fillId="45" borderId="17" xfId="394" applyFont="1" applyFill="1" applyBorder="1"/>
    <xf numFmtId="11" fontId="1" fillId="45" borderId="15" xfId="394" applyNumberFormat="1" applyFont="1" applyFill="1" applyBorder="1" applyAlignment="1">
      <alignment horizontal="center"/>
    </xf>
    <xf numFmtId="11" fontId="1" fillId="45" borderId="30" xfId="394" applyNumberFormat="1" applyFont="1" applyFill="1" applyBorder="1" applyAlignment="1">
      <alignment horizontal="center"/>
    </xf>
    <xf numFmtId="11" fontId="1" fillId="35" borderId="15" xfId="394" applyNumberFormat="1" applyFont="1" applyFill="1" applyBorder="1" applyAlignment="1">
      <alignment horizontal="center"/>
    </xf>
    <xf numFmtId="11" fontId="1" fillId="35" borderId="30" xfId="394" applyNumberFormat="1" applyFont="1" applyFill="1" applyBorder="1" applyAlignment="1">
      <alignment horizontal="center"/>
    </xf>
    <xf numFmtId="11" fontId="1" fillId="34" borderId="15" xfId="394" applyNumberFormat="1" applyFont="1" applyFill="1" applyBorder="1" applyAlignment="1">
      <alignment horizontal="center"/>
    </xf>
    <xf numFmtId="11" fontId="1" fillId="34" borderId="30" xfId="394" applyNumberFormat="1" applyFont="1" applyFill="1" applyBorder="1" applyAlignment="1">
      <alignment horizontal="center"/>
    </xf>
    <xf numFmtId="0" fontId="1" fillId="36" borderId="9" xfId="394" applyFont="1" applyFill="1" applyBorder="1"/>
    <xf numFmtId="11" fontId="1" fillId="36" borderId="15" xfId="394" applyNumberFormat="1" applyFont="1" applyFill="1" applyBorder="1" applyAlignment="1">
      <alignment horizontal="center"/>
    </xf>
    <xf numFmtId="0" fontId="1" fillId="36" borderId="29" xfId="394" applyFont="1" applyFill="1" applyBorder="1"/>
    <xf numFmtId="11" fontId="1" fillId="36" borderId="30" xfId="394" applyNumberFormat="1" applyFont="1" applyFill="1" applyBorder="1" applyAlignment="1">
      <alignment horizontal="center"/>
    </xf>
    <xf numFmtId="0" fontId="1" fillId="36" borderId="18" xfId="394" applyFont="1" applyFill="1" applyBorder="1"/>
    <xf numFmtId="0" fontId="1" fillId="36" borderId="17" xfId="394" applyFont="1" applyFill="1" applyBorder="1"/>
    <xf numFmtId="11" fontId="1" fillId="41" borderId="30" xfId="394" applyNumberFormat="1" applyFont="1" applyFill="1" applyBorder="1" applyAlignment="1">
      <alignment horizontal="center"/>
    </xf>
    <xf numFmtId="11" fontId="1" fillId="43" borderId="15" xfId="394" applyNumberFormat="1" applyFont="1" applyFill="1" applyBorder="1" applyAlignment="1">
      <alignment horizontal="center"/>
    </xf>
    <xf numFmtId="11" fontId="1" fillId="43" borderId="30" xfId="394" applyNumberFormat="1" applyFont="1" applyFill="1" applyBorder="1" applyAlignment="1">
      <alignment horizontal="center"/>
    </xf>
    <xf numFmtId="11" fontId="1" fillId="43" borderId="31" xfId="394" applyNumberFormat="1" applyFont="1" applyFill="1" applyBorder="1" applyAlignment="1">
      <alignment horizontal="center"/>
    </xf>
    <xf numFmtId="11" fontId="1" fillId="44" borderId="30" xfId="394" applyNumberFormat="1" applyFont="1" applyFill="1" applyBorder="1" applyAlignment="1">
      <alignment horizontal="center"/>
    </xf>
    <xf numFmtId="11" fontId="1" fillId="42" borderId="30" xfId="394" applyNumberFormat="1" applyFont="1" applyFill="1" applyBorder="1" applyAlignment="1">
      <alignment horizontal="center"/>
    </xf>
    <xf numFmtId="0" fontId="1" fillId="34" borderId="27" xfId="394" applyFont="1" applyFill="1" applyBorder="1"/>
    <xf numFmtId="11" fontId="1" fillId="34" borderId="31" xfId="394" applyNumberFormat="1" applyFont="1" applyFill="1" applyBorder="1" applyAlignment="1">
      <alignment horizontal="center"/>
    </xf>
    <xf numFmtId="0" fontId="1" fillId="36" borderId="27" xfId="394" applyFont="1" applyFill="1" applyBorder="1"/>
    <xf numFmtId="11" fontId="1" fillId="36" borderId="31" xfId="394" applyNumberFormat="1" applyFont="1" applyFill="1" applyBorder="1" applyAlignment="1">
      <alignment horizontal="center"/>
    </xf>
    <xf numFmtId="0" fontId="1" fillId="45" borderId="27" xfId="394" applyFont="1" applyFill="1" applyBorder="1"/>
    <xf numFmtId="11" fontId="1" fillId="45" borderId="31" xfId="394" applyNumberFormat="1" applyFont="1" applyFill="1" applyBorder="1" applyAlignment="1">
      <alignment horizontal="center"/>
    </xf>
    <xf numFmtId="0" fontId="1" fillId="35" borderId="27" xfId="394" applyFont="1" applyFill="1" applyBorder="1"/>
    <xf numFmtId="11" fontId="1" fillId="35" borderId="31" xfId="394" applyNumberFormat="1" applyFont="1" applyFill="1" applyBorder="1" applyAlignment="1">
      <alignment horizontal="center"/>
    </xf>
    <xf numFmtId="0" fontId="1" fillId="41" borderId="27" xfId="394" applyFont="1" applyFill="1" applyBorder="1"/>
    <xf numFmtId="0" fontId="1" fillId="44" borderId="27" xfId="394" applyFont="1" applyFill="1" applyBorder="1"/>
    <xf numFmtId="0" fontId="1" fillId="43" borderId="27" xfId="394" applyFont="1" applyFill="1" applyBorder="1"/>
    <xf numFmtId="0" fontId="1" fillId="42" borderId="27" xfId="394" applyFont="1" applyFill="1" applyBorder="1"/>
    <xf numFmtId="11" fontId="1" fillId="41" borderId="15" xfId="394" applyNumberFormat="1" applyFont="1" applyFill="1" applyBorder="1" applyAlignment="1">
      <alignment horizontal="center"/>
    </xf>
    <xf numFmtId="11" fontId="1" fillId="42" borderId="15" xfId="394" applyNumberFormat="1" applyFont="1" applyFill="1" applyBorder="1" applyAlignment="1">
      <alignment horizontal="center"/>
    </xf>
    <xf numFmtId="11" fontId="1" fillId="44" borderId="15" xfId="394" applyNumberFormat="1" applyFont="1" applyFill="1" applyBorder="1" applyAlignment="1">
      <alignment horizontal="center"/>
    </xf>
    <xf numFmtId="11" fontId="1" fillId="41" borderId="31" xfId="394" applyNumberFormat="1" applyFont="1" applyFill="1" applyBorder="1" applyAlignment="1">
      <alignment horizontal="center"/>
    </xf>
    <xf numFmtId="11" fontId="1" fillId="42" borderId="31" xfId="394" applyNumberFormat="1" applyFont="1" applyFill="1" applyBorder="1" applyAlignment="1">
      <alignment horizontal="center"/>
    </xf>
    <xf numFmtId="11" fontId="1" fillId="44" borderId="31" xfId="394" applyNumberFormat="1" applyFont="1" applyFill="1" applyBorder="1" applyAlignment="1">
      <alignment horizontal="center"/>
    </xf>
    <xf numFmtId="11" fontId="28" fillId="39" borderId="15" xfId="397" applyNumberFormat="1" applyFont="1" applyFill="1" applyBorder="1" applyAlignment="1">
      <alignment horizontal="center" vertical="center"/>
    </xf>
    <xf numFmtId="1" fontId="2" fillId="0" borderId="0" xfId="0" applyNumberFormat="1" applyFont="1" applyAlignment="1">
      <alignment horizontal="center"/>
    </xf>
    <xf numFmtId="164" fontId="2" fillId="0" borderId="0" xfId="0" applyNumberFormat="1" applyFont="1" applyAlignment="1">
      <alignment horizontal="center"/>
    </xf>
    <xf numFmtId="0" fontId="28" fillId="39" borderId="15" xfId="397" applyNumberFormat="1" applyFont="1" applyFill="1" applyBorder="1" applyAlignment="1">
      <alignment horizontal="center" vertical="center"/>
    </xf>
    <xf numFmtId="11" fontId="2" fillId="0" borderId="0" xfId="0" applyNumberFormat="1" applyFont="1"/>
    <xf numFmtId="11" fontId="28" fillId="39" borderId="15" xfId="396" applyNumberFormat="1" applyFont="1" applyFill="1" applyBorder="1" applyAlignment="1">
      <alignment horizontal="center" vertical="center"/>
    </xf>
    <xf numFmtId="11" fontId="28" fillId="39" borderId="15" xfId="396" applyNumberFormat="1" applyFont="1" applyFill="1" applyBorder="1" applyAlignment="1">
      <alignment horizontal="center" vertical="center" wrapText="1"/>
    </xf>
    <xf numFmtId="0" fontId="2" fillId="0" borderId="0" xfId="394"/>
    <xf numFmtId="0" fontId="2" fillId="0" borderId="36" xfId="394" applyBorder="1" applyAlignment="1">
      <alignment horizontal="left"/>
    </xf>
    <xf numFmtId="0" fontId="2" fillId="0" borderId="36" xfId="396" applyBorder="1" applyAlignment="1">
      <alignment horizontal="left"/>
    </xf>
    <xf numFmtId="0" fontId="2" fillId="0" borderId="37" xfId="396" applyBorder="1" applyAlignment="1">
      <alignment horizontal="left"/>
    </xf>
    <xf numFmtId="0" fontId="2" fillId="0" borderId="38" xfId="396" applyBorder="1" applyAlignment="1">
      <alignment horizontal="left"/>
    </xf>
    <xf numFmtId="0" fontId="1" fillId="0" borderId="39" xfId="396" applyFont="1" applyBorder="1"/>
    <xf numFmtId="0" fontId="2" fillId="40" borderId="39" xfId="396" applyFill="1" applyBorder="1"/>
    <xf numFmtId="0" fontId="2" fillId="39" borderId="39" xfId="396" applyFill="1" applyBorder="1"/>
    <xf numFmtId="11" fontId="0" fillId="0" borderId="0" xfId="0" applyNumberFormat="1"/>
    <xf numFmtId="0" fontId="2" fillId="0" borderId="40" xfId="396" applyBorder="1" applyAlignment="1">
      <alignment horizontal="left"/>
    </xf>
    <xf numFmtId="0" fontId="2" fillId="0" borderId="32" xfId="396" applyBorder="1" applyAlignment="1">
      <alignment horizontal="left"/>
    </xf>
    <xf numFmtId="0" fontId="2" fillId="0" borderId="41" xfId="396" applyBorder="1" applyAlignment="1">
      <alignment horizontal="left"/>
    </xf>
    <xf numFmtId="0" fontId="1" fillId="0" borderId="2" xfId="396" applyFont="1" applyBorder="1" applyAlignment="1">
      <alignment horizontal="left"/>
    </xf>
    <xf numFmtId="0" fontId="1" fillId="0" borderId="33" xfId="396" applyFont="1" applyBorder="1" applyAlignment="1">
      <alignment horizontal="left"/>
    </xf>
    <xf numFmtId="0" fontId="1" fillId="0" borderId="35" xfId="396" applyFont="1" applyBorder="1" applyAlignment="1">
      <alignment horizontal="left"/>
    </xf>
    <xf numFmtId="0" fontId="6" fillId="0" borderId="0" xfId="396" applyFont="1" applyAlignment="1">
      <alignment horizontal="center"/>
    </xf>
    <xf numFmtId="0" fontId="2" fillId="0" borderId="0" xfId="394" applyFont="1" applyAlignment="1">
      <alignment horizontal="left" wrapText="1"/>
    </xf>
    <xf numFmtId="0" fontId="9" fillId="35" borderId="27" xfId="394" applyFont="1" applyFill="1" applyBorder="1" applyAlignment="1">
      <alignment horizontal="center"/>
    </xf>
    <xf numFmtId="0" fontId="9" fillId="35" borderId="46" xfId="394" applyFont="1" applyFill="1" applyBorder="1" applyAlignment="1">
      <alignment horizontal="center"/>
    </xf>
    <xf numFmtId="0" fontId="9" fillId="35" borderId="18" xfId="394" applyFont="1" applyFill="1" applyBorder="1" applyAlignment="1">
      <alignment horizontal="center"/>
    </xf>
    <xf numFmtId="0" fontId="9" fillId="45" borderId="27" xfId="394" applyFont="1" applyFill="1" applyBorder="1" applyAlignment="1">
      <alignment horizontal="center"/>
    </xf>
    <xf numFmtId="0" fontId="9" fillId="45" borderId="46" xfId="394" applyFont="1" applyFill="1" applyBorder="1" applyAlignment="1">
      <alignment horizontal="center"/>
    </xf>
    <xf numFmtId="0" fontId="9" fillId="45" borderId="18" xfId="394" applyFont="1" applyFill="1" applyBorder="1" applyAlignment="1">
      <alignment horizontal="center"/>
    </xf>
    <xf numFmtId="0" fontId="9" fillId="36" borderId="27" xfId="394" applyFont="1" applyFill="1" applyBorder="1" applyAlignment="1">
      <alignment horizontal="center"/>
    </xf>
    <xf numFmtId="0" fontId="9" fillId="36" borderId="46" xfId="394" applyFont="1" applyFill="1" applyBorder="1" applyAlignment="1">
      <alignment horizontal="center"/>
    </xf>
    <xf numFmtId="0" fontId="9" fillId="36" borderId="18" xfId="394" applyFont="1" applyFill="1" applyBorder="1" applyAlignment="1">
      <alignment horizontal="center"/>
    </xf>
    <xf numFmtId="0" fontId="9" fillId="34" borderId="47" xfId="394" applyFont="1" applyFill="1" applyBorder="1" applyAlignment="1">
      <alignment horizontal="center"/>
    </xf>
    <xf numFmtId="0" fontId="9" fillId="34" borderId="46" xfId="394" applyFont="1" applyFill="1" applyBorder="1" applyAlignment="1">
      <alignment horizontal="center"/>
    </xf>
    <xf numFmtId="0" fontId="9" fillId="34" borderId="18" xfId="394" applyFont="1" applyFill="1" applyBorder="1" applyAlignment="1">
      <alignment horizontal="center"/>
    </xf>
    <xf numFmtId="0" fontId="31" fillId="46" borderId="48" xfId="396" applyFont="1" applyFill="1" applyBorder="1" applyAlignment="1">
      <alignment horizontal="center" vertical="center"/>
    </xf>
    <xf numFmtId="0" fontId="31" fillId="46" borderId="49" xfId="396" applyFont="1" applyFill="1" applyBorder="1" applyAlignment="1">
      <alignment horizontal="center" vertical="center"/>
    </xf>
    <xf numFmtId="0" fontId="31" fillId="46" borderId="50" xfId="396" applyFont="1" applyFill="1" applyBorder="1" applyAlignment="1">
      <alignment horizontal="center" vertical="center"/>
    </xf>
    <xf numFmtId="0" fontId="4" fillId="34" borderId="42" xfId="396" applyFont="1" applyFill="1" applyBorder="1" applyAlignment="1">
      <alignment horizontal="center" vertical="center"/>
    </xf>
    <xf numFmtId="0" fontId="4" fillId="34" borderId="43" xfId="396" applyFont="1" applyFill="1" applyBorder="1" applyAlignment="1">
      <alignment horizontal="center" vertical="center"/>
    </xf>
    <xf numFmtId="0" fontId="4" fillId="36" borderId="42" xfId="396" applyNumberFormat="1" applyFont="1" applyFill="1" applyBorder="1" applyAlignment="1">
      <alignment horizontal="center" vertical="center"/>
    </xf>
    <xf numFmtId="0" fontId="4" fillId="45" borderId="42" xfId="396" applyNumberFormat="1" applyFont="1" applyFill="1" applyBorder="1" applyAlignment="1">
      <alignment horizontal="center" vertical="center"/>
    </xf>
    <xf numFmtId="0" fontId="4" fillId="35" borderId="42" xfId="396" applyFont="1" applyFill="1" applyBorder="1" applyAlignment="1">
      <alignment horizontal="center" vertical="center"/>
    </xf>
    <xf numFmtId="0" fontId="30" fillId="38" borderId="2" xfId="397" applyFont="1" applyFill="1" applyBorder="1" applyAlignment="1">
      <alignment horizontal="center" vertical="center" wrapText="1"/>
    </xf>
    <xf numFmtId="0" fontId="30" fillId="38" borderId="33" xfId="397" applyFont="1" applyFill="1" applyBorder="1" applyAlignment="1">
      <alignment horizontal="center" vertical="center" wrapText="1"/>
    </xf>
    <xf numFmtId="0" fontId="30" fillId="38" borderId="44" xfId="397" applyFont="1" applyFill="1" applyBorder="1" applyAlignment="1">
      <alignment horizontal="center" vertical="center" wrapText="1"/>
    </xf>
    <xf numFmtId="0" fontId="30" fillId="38" borderId="4" xfId="397" applyFont="1" applyFill="1" applyBorder="1" applyAlignment="1">
      <alignment horizontal="center" vertical="center" wrapText="1"/>
    </xf>
    <xf numFmtId="0" fontId="30" fillId="38" borderId="0" xfId="397" applyFont="1" applyFill="1" applyBorder="1" applyAlignment="1">
      <alignment horizontal="center" vertical="center" wrapText="1"/>
    </xf>
    <xf numFmtId="0" fontId="30" fillId="38" borderId="28" xfId="397" applyFont="1" applyFill="1" applyBorder="1" applyAlignment="1">
      <alignment horizontal="center" vertical="center" wrapText="1"/>
    </xf>
    <xf numFmtId="0" fontId="30" fillId="38" borderId="6" xfId="397" applyFont="1" applyFill="1" applyBorder="1" applyAlignment="1">
      <alignment horizontal="center" vertical="center" wrapText="1"/>
    </xf>
    <xf numFmtId="0" fontId="30" fillId="38" borderId="11" xfId="397" applyFont="1" applyFill="1" applyBorder="1" applyAlignment="1">
      <alignment horizontal="center" vertical="center" wrapText="1"/>
    </xf>
    <xf numFmtId="0" fontId="30" fillId="38" borderId="45" xfId="397" applyFont="1" applyFill="1" applyBorder="1" applyAlignment="1">
      <alignment horizontal="center" vertical="center" wrapText="1"/>
    </xf>
    <xf numFmtId="0" fontId="31" fillId="47" borderId="48" xfId="396" applyFont="1" applyFill="1" applyBorder="1" applyAlignment="1">
      <alignment horizontal="center" vertical="center"/>
    </xf>
    <xf numFmtId="0" fontId="31" fillId="47" borderId="49" xfId="396" applyFont="1" applyFill="1" applyBorder="1" applyAlignment="1">
      <alignment horizontal="center" vertical="center"/>
    </xf>
    <xf numFmtId="0" fontId="31" fillId="47" borderId="50" xfId="396" applyFont="1" applyFill="1" applyBorder="1" applyAlignment="1">
      <alignment horizontal="center" vertical="center"/>
    </xf>
    <xf numFmtId="0" fontId="30" fillId="38" borderId="2" xfId="396" applyFont="1" applyFill="1" applyBorder="1" applyAlignment="1">
      <alignment horizontal="center" vertical="center" wrapText="1"/>
    </xf>
    <xf numFmtId="0" fontId="30" fillId="38" borderId="33" xfId="396" applyFont="1" applyFill="1" applyBorder="1" applyAlignment="1">
      <alignment horizontal="center" vertical="center" wrapText="1"/>
    </xf>
    <xf numFmtId="0" fontId="30" fillId="38" borderId="35" xfId="396" applyFont="1" applyFill="1" applyBorder="1" applyAlignment="1">
      <alignment horizontal="center" vertical="center" wrapText="1"/>
    </xf>
    <xf numFmtId="0" fontId="30" fillId="38" borderId="4" xfId="396" applyFont="1" applyFill="1" applyBorder="1" applyAlignment="1">
      <alignment horizontal="center" vertical="center" wrapText="1"/>
    </xf>
    <xf numFmtId="0" fontId="30" fillId="38" borderId="0" xfId="396" applyFont="1" applyFill="1" applyBorder="1" applyAlignment="1">
      <alignment horizontal="center" vertical="center" wrapText="1"/>
    </xf>
    <xf numFmtId="0" fontId="30" fillId="38" borderId="10" xfId="396" applyFont="1" applyFill="1" applyBorder="1" applyAlignment="1">
      <alignment horizontal="center" vertical="center" wrapText="1"/>
    </xf>
    <xf numFmtId="0" fontId="30" fillId="38" borderId="6" xfId="396" applyFont="1" applyFill="1" applyBorder="1" applyAlignment="1">
      <alignment horizontal="center" vertical="center" wrapText="1"/>
    </xf>
    <xf numFmtId="0" fontId="30" fillId="38" borderId="11" xfId="396" applyFont="1" applyFill="1" applyBorder="1" applyAlignment="1">
      <alignment horizontal="center" vertical="center" wrapText="1"/>
    </xf>
    <xf numFmtId="0" fontId="30" fillId="38" borderId="13" xfId="396" applyFont="1" applyFill="1" applyBorder="1" applyAlignment="1">
      <alignment horizontal="center" vertical="center" wrapText="1"/>
    </xf>
    <xf numFmtId="0" fontId="31" fillId="48" borderId="48" xfId="396" applyFont="1" applyFill="1" applyBorder="1" applyAlignment="1">
      <alignment horizontal="center" vertical="center"/>
    </xf>
    <xf numFmtId="0" fontId="31" fillId="48" borderId="49" xfId="396" applyFont="1" applyFill="1" applyBorder="1" applyAlignment="1">
      <alignment horizontal="center" vertical="center"/>
    </xf>
    <xf numFmtId="0" fontId="31" fillId="48" borderId="50" xfId="396" applyFont="1" applyFill="1" applyBorder="1" applyAlignment="1">
      <alignment horizontal="center" vertical="center"/>
    </xf>
    <xf numFmtId="0" fontId="31" fillId="49" borderId="48" xfId="396" applyFont="1" applyFill="1" applyBorder="1" applyAlignment="1">
      <alignment horizontal="center" vertical="center"/>
    </xf>
    <xf numFmtId="0" fontId="31" fillId="49" borderId="49" xfId="396" applyFont="1" applyFill="1" applyBorder="1" applyAlignment="1">
      <alignment horizontal="center" vertical="center"/>
    </xf>
    <xf numFmtId="0" fontId="31" fillId="49" borderId="50" xfId="396" applyFont="1" applyFill="1" applyBorder="1" applyAlignment="1">
      <alignment horizontal="center" vertical="center"/>
    </xf>
    <xf numFmtId="0" fontId="9" fillId="44" borderId="27" xfId="394" applyFont="1" applyFill="1" applyBorder="1" applyAlignment="1">
      <alignment horizontal="center"/>
    </xf>
    <xf numFmtId="0" fontId="9" fillId="44" borderId="46" xfId="394" applyFont="1" applyFill="1" applyBorder="1" applyAlignment="1">
      <alignment horizontal="center"/>
    </xf>
    <xf numFmtId="0" fontId="9" fillId="44" borderId="18" xfId="394" applyFont="1" applyFill="1" applyBorder="1" applyAlignment="1">
      <alignment horizontal="center"/>
    </xf>
    <xf numFmtId="0" fontId="9" fillId="43" borderId="27" xfId="394" applyFont="1" applyFill="1" applyBorder="1" applyAlignment="1">
      <alignment horizontal="center"/>
    </xf>
    <xf numFmtId="0" fontId="9" fillId="43" borderId="46" xfId="394" applyFont="1" applyFill="1" applyBorder="1" applyAlignment="1">
      <alignment horizontal="center"/>
    </xf>
    <xf numFmtId="0" fontId="9" fillId="43" borderId="18" xfId="394" applyFont="1" applyFill="1" applyBorder="1" applyAlignment="1">
      <alignment horizontal="center"/>
    </xf>
    <xf numFmtId="0" fontId="9" fillId="42" borderId="27" xfId="394" applyFont="1" applyFill="1" applyBorder="1" applyAlignment="1">
      <alignment horizontal="center"/>
    </xf>
    <xf numFmtId="0" fontId="9" fillId="42" borderId="46" xfId="394" applyFont="1" applyFill="1" applyBorder="1" applyAlignment="1">
      <alignment horizontal="center"/>
    </xf>
    <xf numFmtId="0" fontId="9" fillId="42" borderId="18" xfId="394" applyFont="1" applyFill="1" applyBorder="1" applyAlignment="1">
      <alignment horizontal="center"/>
    </xf>
    <xf numFmtId="0" fontId="4" fillId="42" borderId="42" xfId="396" applyFont="1" applyFill="1" applyBorder="1" applyAlignment="1">
      <alignment horizontal="center" vertical="center"/>
    </xf>
    <xf numFmtId="0" fontId="4" fillId="43" borderId="42" xfId="396" applyNumberFormat="1" applyFont="1" applyFill="1" applyBorder="1" applyAlignment="1">
      <alignment horizontal="center" vertical="center"/>
    </xf>
    <xf numFmtId="0" fontId="4" fillId="44" borderId="42" xfId="396" applyNumberFormat="1" applyFont="1" applyFill="1" applyBorder="1" applyAlignment="1">
      <alignment horizontal="center" vertical="center"/>
    </xf>
    <xf numFmtId="0" fontId="9" fillId="41" borderId="27" xfId="394" applyFont="1" applyFill="1" applyBorder="1" applyAlignment="1">
      <alignment horizontal="center"/>
    </xf>
    <xf numFmtId="0" fontId="9" fillId="41" borderId="46" xfId="394" applyFont="1" applyFill="1" applyBorder="1" applyAlignment="1">
      <alignment horizontal="center"/>
    </xf>
    <xf numFmtId="0" fontId="9" fillId="41" borderId="18" xfId="394" applyFont="1" applyFill="1" applyBorder="1" applyAlignment="1">
      <alignment horizontal="center"/>
    </xf>
    <xf numFmtId="0" fontId="9" fillId="41" borderId="47" xfId="394" applyFont="1" applyFill="1" applyBorder="1" applyAlignment="1">
      <alignment horizontal="center"/>
    </xf>
    <xf numFmtId="0" fontId="4" fillId="41" borderId="42" xfId="396" applyFont="1" applyFill="1" applyBorder="1" applyAlignment="1">
      <alignment horizontal="center" vertical="center"/>
    </xf>
    <xf numFmtId="0" fontId="4" fillId="41" borderId="43" xfId="396" applyFont="1" applyFill="1" applyBorder="1" applyAlignment="1">
      <alignment horizontal="center" vertical="center"/>
    </xf>
    <xf numFmtId="0" fontId="9" fillId="42" borderId="54" xfId="394" applyFont="1" applyFill="1" applyBorder="1" applyAlignment="1">
      <alignment horizontal="center"/>
    </xf>
    <xf numFmtId="0" fontId="9" fillId="42" borderId="52" xfId="394" applyFont="1" applyFill="1" applyBorder="1" applyAlignment="1">
      <alignment horizontal="center"/>
    </xf>
    <xf numFmtId="0" fontId="9" fillId="42" borderId="53" xfId="394" applyFont="1" applyFill="1" applyBorder="1" applyAlignment="1">
      <alignment horizontal="center"/>
    </xf>
    <xf numFmtId="0" fontId="9" fillId="44" borderId="54" xfId="394" applyFont="1" applyFill="1" applyBorder="1" applyAlignment="1">
      <alignment horizontal="center"/>
    </xf>
    <xf numFmtId="0" fontId="9" fillId="44" borderId="52" xfId="394" applyFont="1" applyFill="1" applyBorder="1" applyAlignment="1">
      <alignment horizontal="center"/>
    </xf>
    <xf numFmtId="0" fontId="9" fillId="44" borderId="53" xfId="394" applyFont="1" applyFill="1" applyBorder="1" applyAlignment="1">
      <alignment horizontal="center"/>
    </xf>
    <xf numFmtId="0" fontId="9" fillId="43" borderId="54" xfId="394" applyFont="1" applyFill="1" applyBorder="1" applyAlignment="1">
      <alignment horizontal="center"/>
    </xf>
    <xf numFmtId="0" fontId="9" fillId="43" borderId="52" xfId="394" applyFont="1" applyFill="1" applyBorder="1" applyAlignment="1">
      <alignment horizontal="center"/>
    </xf>
    <xf numFmtId="0" fontId="9" fillId="43" borderId="53" xfId="394" applyFont="1" applyFill="1" applyBorder="1" applyAlignment="1">
      <alignment horizontal="center"/>
    </xf>
    <xf numFmtId="0" fontId="4" fillId="52" borderId="42" xfId="396" applyFont="1" applyFill="1" applyBorder="1" applyAlignment="1">
      <alignment horizontal="center" vertical="center"/>
    </xf>
    <xf numFmtId="0" fontId="4" fillId="52" borderId="43" xfId="396" applyFont="1" applyFill="1" applyBorder="1" applyAlignment="1">
      <alignment horizontal="center" vertical="center"/>
    </xf>
    <xf numFmtId="0" fontId="4" fillId="53" borderId="42" xfId="396" applyNumberFormat="1" applyFont="1" applyFill="1" applyBorder="1" applyAlignment="1">
      <alignment horizontal="center" vertical="center"/>
    </xf>
    <xf numFmtId="0" fontId="4" fillId="50" borderId="42" xfId="396" applyNumberFormat="1" applyFont="1" applyFill="1" applyBorder="1" applyAlignment="1">
      <alignment horizontal="center" vertical="center"/>
    </xf>
    <xf numFmtId="0" fontId="4" fillId="51" borderId="42" xfId="396" applyFont="1" applyFill="1" applyBorder="1" applyAlignment="1">
      <alignment horizontal="center" vertical="center"/>
    </xf>
    <xf numFmtId="0" fontId="9" fillId="41" borderId="51" xfId="394" applyFont="1" applyFill="1" applyBorder="1" applyAlignment="1">
      <alignment horizontal="center"/>
    </xf>
    <xf numFmtId="0" fontId="9" fillId="41" borderId="52" xfId="394" applyFont="1" applyFill="1" applyBorder="1" applyAlignment="1">
      <alignment horizontal="center"/>
    </xf>
    <xf numFmtId="0" fontId="9" fillId="41" borderId="53" xfId="394" applyFont="1" applyFill="1" applyBorder="1" applyAlignment="1">
      <alignment horizontal="center"/>
    </xf>
    <xf numFmtId="0" fontId="9" fillId="41" borderId="54" xfId="394" applyFont="1" applyFill="1" applyBorder="1" applyAlignment="1">
      <alignment horizontal="center"/>
    </xf>
    <xf numFmtId="0" fontId="5" fillId="56" borderId="4" xfId="0" applyFont="1" applyFill="1" applyBorder="1" applyAlignment="1">
      <alignment horizontal="center"/>
    </xf>
    <xf numFmtId="0" fontId="5" fillId="56" borderId="0" xfId="0" applyFont="1" applyFill="1" applyBorder="1" applyAlignment="1">
      <alignment horizontal="center"/>
    </xf>
    <xf numFmtId="0" fontId="5" fillId="56" borderId="10" xfId="0" applyFont="1" applyFill="1" applyBorder="1" applyAlignment="1">
      <alignment horizontal="center"/>
    </xf>
    <xf numFmtId="0" fontId="5" fillId="54" borderId="6" xfId="0" applyFont="1" applyFill="1" applyBorder="1" applyAlignment="1">
      <alignment horizontal="center"/>
    </xf>
    <xf numFmtId="0" fontId="5" fillId="54" borderId="11" xfId="0" applyFont="1" applyFill="1" applyBorder="1" applyAlignment="1">
      <alignment horizontal="center"/>
    </xf>
    <xf numFmtId="0" fontId="5" fillId="52" borderId="6" xfId="0" applyFont="1" applyFill="1" applyBorder="1" applyAlignment="1">
      <alignment horizontal="center"/>
    </xf>
    <xf numFmtId="0" fontId="5" fillId="52" borderId="11" xfId="0" applyFont="1" applyFill="1" applyBorder="1" applyAlignment="1">
      <alignment horizontal="center"/>
    </xf>
    <xf numFmtId="0" fontId="5" fillId="51" borderId="6" xfId="0" applyFont="1" applyFill="1" applyBorder="1" applyAlignment="1">
      <alignment horizontal="center"/>
    </xf>
    <xf numFmtId="0" fontId="5" fillId="51" borderId="11" xfId="0" applyFont="1" applyFill="1" applyBorder="1" applyAlignment="1">
      <alignment horizontal="center"/>
    </xf>
    <xf numFmtId="0" fontId="5" fillId="53" borderId="6" xfId="0" applyFont="1" applyFill="1" applyBorder="1" applyAlignment="1">
      <alignment horizontal="center"/>
    </xf>
    <xf numFmtId="0" fontId="5" fillId="53" borderId="11" xfId="0" applyFont="1" applyFill="1" applyBorder="1" applyAlignment="1">
      <alignment horizontal="center"/>
    </xf>
    <xf numFmtId="0" fontId="5" fillId="55" borderId="4" xfId="0" applyFont="1" applyFill="1" applyBorder="1" applyAlignment="1">
      <alignment horizontal="center"/>
    </xf>
    <xf numFmtId="0" fontId="5" fillId="55" borderId="0" xfId="0" applyFont="1" applyFill="1" applyBorder="1" applyAlignment="1">
      <alignment horizontal="center"/>
    </xf>
    <xf numFmtId="0" fontId="5" fillId="55" borderId="10" xfId="0" applyFont="1" applyFill="1" applyBorder="1" applyAlignment="1">
      <alignment horizontal="center"/>
    </xf>
  </cellXfs>
  <cellStyles count="403">
    <cellStyle name="20% - Accent1" xfId="1" builtinId="30" customBuiltin="1"/>
    <cellStyle name="20% - Accent1 2" xfId="2"/>
    <cellStyle name="20% - Accent1 2 2" xfId="3"/>
    <cellStyle name="20% - Accent1 2 2 2" xfId="4"/>
    <cellStyle name="20% - Accent1 2 2 2 2" xfId="5"/>
    <cellStyle name="20% - Accent1 2 2 3" xfId="6"/>
    <cellStyle name="20% - Accent1 2 3" xfId="7"/>
    <cellStyle name="20% - Accent1 2 3 2" xfId="8"/>
    <cellStyle name="20% - Accent1 2 3 2 2" xfId="9"/>
    <cellStyle name="20% - Accent1 2 3 3" xfId="10"/>
    <cellStyle name="20% - Accent1 2 4" xfId="11"/>
    <cellStyle name="20% - Accent1 2 4 2" xfId="12"/>
    <cellStyle name="20% - Accent1 2 5" xfId="13"/>
    <cellStyle name="20% - Accent1 2 5 2" xfId="14"/>
    <cellStyle name="20% - Accent1 2 6" xfId="15"/>
    <cellStyle name="20% - Accent1 3" xfId="16"/>
    <cellStyle name="20% - Accent1 3 2" xfId="17"/>
    <cellStyle name="20% - Accent1 3 2 2" xfId="18"/>
    <cellStyle name="20% - Accent1 3 3" xfId="19"/>
    <cellStyle name="20% - Accent1 4" xfId="20"/>
    <cellStyle name="20% - Accent1 4 2" xfId="21"/>
    <cellStyle name="20% - Accent1 4 2 2" xfId="22"/>
    <cellStyle name="20% - Accent1 4 3" xfId="23"/>
    <cellStyle name="20% - Accent1 5" xfId="24"/>
    <cellStyle name="20% - Accent1 5 2" xfId="25"/>
    <cellStyle name="20% - Accent1 6" xfId="26"/>
    <cellStyle name="20% - Accent1 6 2" xfId="27"/>
    <cellStyle name="20% - Accent1 7" xfId="28"/>
    <cellStyle name="20% - Accent2" xfId="29" builtinId="34" customBuiltin="1"/>
    <cellStyle name="20% - Accent2 2" xfId="30"/>
    <cellStyle name="20% - Accent2 2 2" xfId="31"/>
    <cellStyle name="20% - Accent2 2 2 2" xfId="32"/>
    <cellStyle name="20% - Accent2 2 2 2 2" xfId="33"/>
    <cellStyle name="20% - Accent2 2 2 3" xfId="34"/>
    <cellStyle name="20% - Accent2 2 3" xfId="35"/>
    <cellStyle name="20% - Accent2 2 3 2" xfId="36"/>
    <cellStyle name="20% - Accent2 2 3 2 2" xfId="37"/>
    <cellStyle name="20% - Accent2 2 3 3" xfId="38"/>
    <cellStyle name="20% - Accent2 2 4" xfId="39"/>
    <cellStyle name="20% - Accent2 2 4 2" xfId="40"/>
    <cellStyle name="20% - Accent2 2 5" xfId="41"/>
    <cellStyle name="20% - Accent2 2 5 2" xfId="42"/>
    <cellStyle name="20% - Accent2 2 6" xfId="43"/>
    <cellStyle name="20% - Accent2 3" xfId="44"/>
    <cellStyle name="20% - Accent2 3 2" xfId="45"/>
    <cellStyle name="20% - Accent2 3 2 2" xfId="46"/>
    <cellStyle name="20% - Accent2 3 3" xfId="47"/>
    <cellStyle name="20% - Accent2 4" xfId="48"/>
    <cellStyle name="20% - Accent2 4 2" xfId="49"/>
    <cellStyle name="20% - Accent2 4 2 2" xfId="50"/>
    <cellStyle name="20% - Accent2 4 3" xfId="51"/>
    <cellStyle name="20% - Accent2 5" xfId="52"/>
    <cellStyle name="20% - Accent2 5 2" xfId="53"/>
    <cellStyle name="20% - Accent2 6" xfId="54"/>
    <cellStyle name="20% - Accent2 6 2" xfId="55"/>
    <cellStyle name="20% - Accent2 7" xfId="56"/>
    <cellStyle name="20% - Accent3" xfId="57" builtinId="38" customBuiltin="1"/>
    <cellStyle name="20% - Accent3 2" xfId="58"/>
    <cellStyle name="20% - Accent3 2 2" xfId="59"/>
    <cellStyle name="20% - Accent3 2 2 2" xfId="60"/>
    <cellStyle name="20% - Accent3 2 2 2 2" xfId="61"/>
    <cellStyle name="20% - Accent3 2 2 3" xfId="62"/>
    <cellStyle name="20% - Accent3 2 3" xfId="63"/>
    <cellStyle name="20% - Accent3 2 3 2" xfId="64"/>
    <cellStyle name="20% - Accent3 2 3 2 2" xfId="65"/>
    <cellStyle name="20% - Accent3 2 3 3" xfId="66"/>
    <cellStyle name="20% - Accent3 2 4" xfId="67"/>
    <cellStyle name="20% - Accent3 2 4 2" xfId="68"/>
    <cellStyle name="20% - Accent3 2 5" xfId="69"/>
    <cellStyle name="20% - Accent3 2 5 2" xfId="70"/>
    <cellStyle name="20% - Accent3 2 6" xfId="71"/>
    <cellStyle name="20% - Accent3 3" xfId="72"/>
    <cellStyle name="20% - Accent3 3 2" xfId="73"/>
    <cellStyle name="20% - Accent3 3 2 2" xfId="74"/>
    <cellStyle name="20% - Accent3 3 3" xfId="75"/>
    <cellStyle name="20% - Accent3 4" xfId="76"/>
    <cellStyle name="20% - Accent3 4 2" xfId="77"/>
    <cellStyle name="20% - Accent3 4 2 2" xfId="78"/>
    <cellStyle name="20% - Accent3 4 3" xfId="79"/>
    <cellStyle name="20% - Accent3 5" xfId="80"/>
    <cellStyle name="20% - Accent3 5 2" xfId="81"/>
    <cellStyle name="20% - Accent3 6" xfId="82"/>
    <cellStyle name="20% - Accent3 6 2" xfId="83"/>
    <cellStyle name="20% - Accent3 7" xfId="84"/>
    <cellStyle name="20% - Accent4" xfId="85" builtinId="42" customBuiltin="1"/>
    <cellStyle name="20% - Accent4 2" xfId="86"/>
    <cellStyle name="20% - Accent4 2 2" xfId="87"/>
    <cellStyle name="20% - Accent4 2 2 2" xfId="88"/>
    <cellStyle name="20% - Accent4 2 2 2 2" xfId="89"/>
    <cellStyle name="20% - Accent4 2 2 3" xfId="90"/>
    <cellStyle name="20% - Accent4 2 3" xfId="91"/>
    <cellStyle name="20% - Accent4 2 3 2" xfId="92"/>
    <cellStyle name="20% - Accent4 2 3 2 2" xfId="93"/>
    <cellStyle name="20% - Accent4 2 3 3" xfId="94"/>
    <cellStyle name="20% - Accent4 2 4" xfId="95"/>
    <cellStyle name="20% - Accent4 2 4 2" xfId="96"/>
    <cellStyle name="20% - Accent4 2 5" xfId="97"/>
    <cellStyle name="20% - Accent4 2 5 2" xfId="98"/>
    <cellStyle name="20% - Accent4 2 6" xfId="99"/>
    <cellStyle name="20% - Accent4 3" xfId="100"/>
    <cellStyle name="20% - Accent4 3 2" xfId="101"/>
    <cellStyle name="20% - Accent4 3 2 2" xfId="102"/>
    <cellStyle name="20% - Accent4 3 3" xfId="103"/>
    <cellStyle name="20% - Accent4 4" xfId="104"/>
    <cellStyle name="20% - Accent4 4 2" xfId="105"/>
    <cellStyle name="20% - Accent4 4 2 2" xfId="106"/>
    <cellStyle name="20% - Accent4 4 3" xfId="107"/>
    <cellStyle name="20% - Accent4 5" xfId="108"/>
    <cellStyle name="20% - Accent4 5 2" xfId="109"/>
    <cellStyle name="20% - Accent4 6" xfId="110"/>
    <cellStyle name="20% - Accent4 6 2" xfId="111"/>
    <cellStyle name="20% - Accent4 7" xfId="112"/>
    <cellStyle name="20% - Accent5" xfId="113" builtinId="46" customBuiltin="1"/>
    <cellStyle name="20% - Accent5 2" xfId="114"/>
    <cellStyle name="20% - Accent5 2 2" xfId="115"/>
    <cellStyle name="20% - Accent5 2 2 2" xfId="116"/>
    <cellStyle name="20% - Accent5 2 2 2 2" xfId="117"/>
    <cellStyle name="20% - Accent5 2 2 3" xfId="118"/>
    <cellStyle name="20% - Accent5 2 3" xfId="119"/>
    <cellStyle name="20% - Accent5 2 3 2" xfId="120"/>
    <cellStyle name="20% - Accent5 2 3 2 2" xfId="121"/>
    <cellStyle name="20% - Accent5 2 3 3" xfId="122"/>
    <cellStyle name="20% - Accent5 2 4" xfId="123"/>
    <cellStyle name="20% - Accent5 2 4 2" xfId="124"/>
    <cellStyle name="20% - Accent5 2 5" xfId="125"/>
    <cellStyle name="20% - Accent5 2 5 2" xfId="126"/>
    <cellStyle name="20% - Accent5 2 6" xfId="127"/>
    <cellStyle name="20% - Accent5 3" xfId="128"/>
    <cellStyle name="20% - Accent5 3 2" xfId="129"/>
    <cellStyle name="20% - Accent5 3 2 2" xfId="130"/>
    <cellStyle name="20% - Accent5 3 3" xfId="131"/>
    <cellStyle name="20% - Accent5 4" xfId="132"/>
    <cellStyle name="20% - Accent5 4 2" xfId="133"/>
    <cellStyle name="20% - Accent5 4 2 2" xfId="134"/>
    <cellStyle name="20% - Accent5 4 3" xfId="135"/>
    <cellStyle name="20% - Accent5 5" xfId="136"/>
    <cellStyle name="20% - Accent5 5 2" xfId="137"/>
    <cellStyle name="20% - Accent5 6" xfId="138"/>
    <cellStyle name="20% - Accent5 6 2" xfId="139"/>
    <cellStyle name="20% - Accent5 7" xfId="140"/>
    <cellStyle name="20% - Accent6" xfId="141" builtinId="50" customBuiltin="1"/>
    <cellStyle name="20% - Accent6 2" xfId="142"/>
    <cellStyle name="20% - Accent6 2 2" xfId="143"/>
    <cellStyle name="20% - Accent6 2 2 2" xfId="144"/>
    <cellStyle name="20% - Accent6 2 2 2 2" xfId="145"/>
    <cellStyle name="20% - Accent6 2 2 3" xfId="146"/>
    <cellStyle name="20% - Accent6 2 3" xfId="147"/>
    <cellStyle name="20% - Accent6 2 3 2" xfId="148"/>
    <cellStyle name="20% - Accent6 2 3 2 2" xfId="149"/>
    <cellStyle name="20% - Accent6 2 3 3" xfId="150"/>
    <cellStyle name="20% - Accent6 2 4" xfId="151"/>
    <cellStyle name="20% - Accent6 2 4 2" xfId="152"/>
    <cellStyle name="20% - Accent6 2 5" xfId="153"/>
    <cellStyle name="20% - Accent6 2 5 2" xfId="154"/>
    <cellStyle name="20% - Accent6 2 6" xfId="155"/>
    <cellStyle name="20% - Accent6 3" xfId="156"/>
    <cellStyle name="20% - Accent6 3 2" xfId="157"/>
    <cellStyle name="20% - Accent6 3 2 2" xfId="158"/>
    <cellStyle name="20% - Accent6 3 3" xfId="159"/>
    <cellStyle name="20% - Accent6 4" xfId="160"/>
    <cellStyle name="20% - Accent6 4 2" xfId="161"/>
    <cellStyle name="20% - Accent6 4 2 2" xfId="162"/>
    <cellStyle name="20% - Accent6 4 3" xfId="163"/>
    <cellStyle name="20% - Accent6 5" xfId="164"/>
    <cellStyle name="20% - Accent6 5 2" xfId="165"/>
    <cellStyle name="20% - Accent6 6" xfId="166"/>
    <cellStyle name="20% - Accent6 6 2" xfId="167"/>
    <cellStyle name="20% - Accent6 7" xfId="168"/>
    <cellStyle name="40% - Accent1" xfId="169" builtinId="31" customBuiltin="1"/>
    <cellStyle name="40% - Accent1 2" xfId="170"/>
    <cellStyle name="40% - Accent1 2 2" xfId="171"/>
    <cellStyle name="40% - Accent1 2 2 2" xfId="172"/>
    <cellStyle name="40% - Accent1 2 2 2 2" xfId="173"/>
    <cellStyle name="40% - Accent1 2 2 3" xfId="174"/>
    <cellStyle name="40% - Accent1 2 3" xfId="175"/>
    <cellStyle name="40% - Accent1 2 3 2" xfId="176"/>
    <cellStyle name="40% - Accent1 2 3 2 2" xfId="177"/>
    <cellStyle name="40% - Accent1 2 3 3" xfId="178"/>
    <cellStyle name="40% - Accent1 2 4" xfId="179"/>
    <cellStyle name="40% - Accent1 2 4 2" xfId="180"/>
    <cellStyle name="40% - Accent1 2 5" xfId="181"/>
    <cellStyle name="40% - Accent1 2 5 2" xfId="182"/>
    <cellStyle name="40% - Accent1 2 6" xfId="183"/>
    <cellStyle name="40% - Accent1 3" xfId="184"/>
    <cellStyle name="40% - Accent1 3 2" xfId="185"/>
    <cellStyle name="40% - Accent1 3 2 2" xfId="186"/>
    <cellStyle name="40% - Accent1 3 3" xfId="187"/>
    <cellStyle name="40% - Accent1 4" xfId="188"/>
    <cellStyle name="40% - Accent1 4 2" xfId="189"/>
    <cellStyle name="40% - Accent1 4 2 2" xfId="190"/>
    <cellStyle name="40% - Accent1 4 3" xfId="191"/>
    <cellStyle name="40% - Accent1 5" xfId="192"/>
    <cellStyle name="40% - Accent1 5 2" xfId="193"/>
    <cellStyle name="40% - Accent1 6" xfId="194"/>
    <cellStyle name="40% - Accent1 6 2" xfId="195"/>
    <cellStyle name="40% - Accent1 7" xfId="196"/>
    <cellStyle name="40% - Accent2" xfId="197" builtinId="35" customBuiltin="1"/>
    <cellStyle name="40% - Accent2 2" xfId="198"/>
    <cellStyle name="40% - Accent2 2 2" xfId="199"/>
    <cellStyle name="40% - Accent2 2 2 2" xfId="200"/>
    <cellStyle name="40% - Accent2 2 2 2 2" xfId="201"/>
    <cellStyle name="40% - Accent2 2 2 3" xfId="202"/>
    <cellStyle name="40% - Accent2 2 3" xfId="203"/>
    <cellStyle name="40% - Accent2 2 3 2" xfId="204"/>
    <cellStyle name="40% - Accent2 2 3 2 2" xfId="205"/>
    <cellStyle name="40% - Accent2 2 3 3" xfId="206"/>
    <cellStyle name="40% - Accent2 2 4" xfId="207"/>
    <cellStyle name="40% - Accent2 2 4 2" xfId="208"/>
    <cellStyle name="40% - Accent2 2 5" xfId="209"/>
    <cellStyle name="40% - Accent2 2 5 2" xfId="210"/>
    <cellStyle name="40% - Accent2 2 6" xfId="211"/>
    <cellStyle name="40% - Accent2 3" xfId="212"/>
    <cellStyle name="40% - Accent2 3 2" xfId="213"/>
    <cellStyle name="40% - Accent2 3 2 2" xfId="214"/>
    <cellStyle name="40% - Accent2 3 3" xfId="215"/>
    <cellStyle name="40% - Accent2 4" xfId="216"/>
    <cellStyle name="40% - Accent2 4 2" xfId="217"/>
    <cellStyle name="40% - Accent2 4 2 2" xfId="218"/>
    <cellStyle name="40% - Accent2 4 3" xfId="219"/>
    <cellStyle name="40% - Accent2 5" xfId="220"/>
    <cellStyle name="40% - Accent2 5 2" xfId="221"/>
    <cellStyle name="40% - Accent2 6" xfId="222"/>
    <cellStyle name="40% - Accent2 6 2" xfId="223"/>
    <cellStyle name="40% - Accent2 7" xfId="224"/>
    <cellStyle name="40% - Accent3" xfId="225" builtinId="39" customBuiltin="1"/>
    <cellStyle name="40% - Accent3 2" xfId="226"/>
    <cellStyle name="40% - Accent3 2 2" xfId="227"/>
    <cellStyle name="40% - Accent3 2 2 2" xfId="228"/>
    <cellStyle name="40% - Accent3 2 2 2 2" xfId="229"/>
    <cellStyle name="40% - Accent3 2 2 3" xfId="230"/>
    <cellStyle name="40% - Accent3 2 3" xfId="231"/>
    <cellStyle name="40% - Accent3 2 3 2" xfId="232"/>
    <cellStyle name="40% - Accent3 2 3 2 2" xfId="233"/>
    <cellStyle name="40% - Accent3 2 3 3" xfId="234"/>
    <cellStyle name="40% - Accent3 2 4" xfId="235"/>
    <cellStyle name="40% - Accent3 2 4 2" xfId="236"/>
    <cellStyle name="40% - Accent3 2 5" xfId="237"/>
    <cellStyle name="40% - Accent3 2 5 2" xfId="238"/>
    <cellStyle name="40% - Accent3 2 6" xfId="239"/>
    <cellStyle name="40% - Accent3 3" xfId="240"/>
    <cellStyle name="40% - Accent3 3 2" xfId="241"/>
    <cellStyle name="40% - Accent3 3 2 2" xfId="242"/>
    <cellStyle name="40% - Accent3 3 3" xfId="243"/>
    <cellStyle name="40% - Accent3 4" xfId="244"/>
    <cellStyle name="40% - Accent3 4 2" xfId="245"/>
    <cellStyle name="40% - Accent3 4 2 2" xfId="246"/>
    <cellStyle name="40% - Accent3 4 3" xfId="247"/>
    <cellStyle name="40% - Accent3 5" xfId="248"/>
    <cellStyle name="40% - Accent3 5 2" xfId="249"/>
    <cellStyle name="40% - Accent3 6" xfId="250"/>
    <cellStyle name="40% - Accent3 6 2" xfId="251"/>
    <cellStyle name="40% - Accent3 7" xfId="252"/>
    <cellStyle name="40% - Accent4" xfId="253" builtinId="43" customBuiltin="1"/>
    <cellStyle name="40% - Accent4 2" xfId="254"/>
    <cellStyle name="40% - Accent4 2 2" xfId="255"/>
    <cellStyle name="40% - Accent4 2 2 2" xfId="256"/>
    <cellStyle name="40% - Accent4 2 2 2 2" xfId="257"/>
    <cellStyle name="40% - Accent4 2 2 3" xfId="258"/>
    <cellStyle name="40% - Accent4 2 3" xfId="259"/>
    <cellStyle name="40% - Accent4 2 3 2" xfId="260"/>
    <cellStyle name="40% - Accent4 2 3 2 2" xfId="261"/>
    <cellStyle name="40% - Accent4 2 3 3" xfId="262"/>
    <cellStyle name="40% - Accent4 2 4" xfId="263"/>
    <cellStyle name="40% - Accent4 2 4 2" xfId="264"/>
    <cellStyle name="40% - Accent4 2 5" xfId="265"/>
    <cellStyle name="40% - Accent4 2 5 2" xfId="266"/>
    <cellStyle name="40% - Accent4 2 6" xfId="267"/>
    <cellStyle name="40% - Accent4 3" xfId="268"/>
    <cellStyle name="40% - Accent4 3 2" xfId="269"/>
    <cellStyle name="40% - Accent4 3 2 2" xfId="270"/>
    <cellStyle name="40% - Accent4 3 3" xfId="271"/>
    <cellStyle name="40% - Accent4 4" xfId="272"/>
    <cellStyle name="40% - Accent4 4 2" xfId="273"/>
    <cellStyle name="40% - Accent4 4 2 2" xfId="274"/>
    <cellStyle name="40% - Accent4 4 3" xfId="275"/>
    <cellStyle name="40% - Accent4 5" xfId="276"/>
    <cellStyle name="40% - Accent4 5 2" xfId="277"/>
    <cellStyle name="40% - Accent4 6" xfId="278"/>
    <cellStyle name="40% - Accent4 6 2" xfId="279"/>
    <cellStyle name="40% - Accent4 7" xfId="280"/>
    <cellStyle name="40% - Accent5" xfId="281" builtinId="47" customBuiltin="1"/>
    <cellStyle name="40% - Accent5 2" xfId="282"/>
    <cellStyle name="40% - Accent5 2 2" xfId="283"/>
    <cellStyle name="40% - Accent5 2 2 2" xfId="284"/>
    <cellStyle name="40% - Accent5 2 2 2 2" xfId="285"/>
    <cellStyle name="40% - Accent5 2 2 3" xfId="286"/>
    <cellStyle name="40% - Accent5 2 3" xfId="287"/>
    <cellStyle name="40% - Accent5 2 3 2" xfId="288"/>
    <cellStyle name="40% - Accent5 2 3 2 2" xfId="289"/>
    <cellStyle name="40% - Accent5 2 3 3" xfId="290"/>
    <cellStyle name="40% - Accent5 2 4" xfId="291"/>
    <cellStyle name="40% - Accent5 2 4 2" xfId="292"/>
    <cellStyle name="40% - Accent5 2 5" xfId="293"/>
    <cellStyle name="40% - Accent5 2 5 2" xfId="294"/>
    <cellStyle name="40% - Accent5 2 6" xfId="295"/>
    <cellStyle name="40% - Accent5 3" xfId="296"/>
    <cellStyle name="40% - Accent5 3 2" xfId="297"/>
    <cellStyle name="40% - Accent5 3 2 2" xfId="298"/>
    <cellStyle name="40% - Accent5 3 3" xfId="299"/>
    <cellStyle name="40% - Accent5 4" xfId="300"/>
    <cellStyle name="40% - Accent5 4 2" xfId="301"/>
    <cellStyle name="40% - Accent5 4 2 2" xfId="302"/>
    <cellStyle name="40% - Accent5 4 3" xfId="303"/>
    <cellStyle name="40% - Accent5 5" xfId="304"/>
    <cellStyle name="40% - Accent5 5 2" xfId="305"/>
    <cellStyle name="40% - Accent5 6" xfId="306"/>
    <cellStyle name="40% - Accent5 6 2" xfId="307"/>
    <cellStyle name="40% - Accent5 7" xfId="308"/>
    <cellStyle name="40% - Accent6" xfId="309" builtinId="51" customBuiltin="1"/>
    <cellStyle name="40% - Accent6 2" xfId="310"/>
    <cellStyle name="40% - Accent6 2 2" xfId="311"/>
    <cellStyle name="40% - Accent6 2 2 2" xfId="312"/>
    <cellStyle name="40% - Accent6 2 2 2 2" xfId="313"/>
    <cellStyle name="40% - Accent6 2 2 3" xfId="314"/>
    <cellStyle name="40% - Accent6 2 3" xfId="315"/>
    <cellStyle name="40% - Accent6 2 3 2" xfId="316"/>
    <cellStyle name="40% - Accent6 2 3 2 2" xfId="317"/>
    <cellStyle name="40% - Accent6 2 3 3" xfId="318"/>
    <cellStyle name="40% - Accent6 2 4" xfId="319"/>
    <cellStyle name="40% - Accent6 2 4 2" xfId="320"/>
    <cellStyle name="40% - Accent6 2 5" xfId="321"/>
    <cellStyle name="40% - Accent6 2 5 2" xfId="322"/>
    <cellStyle name="40% - Accent6 2 6" xfId="323"/>
    <cellStyle name="40% - Accent6 3" xfId="324"/>
    <cellStyle name="40% - Accent6 3 2" xfId="325"/>
    <cellStyle name="40% - Accent6 3 2 2" xfId="326"/>
    <cellStyle name="40% - Accent6 3 3" xfId="327"/>
    <cellStyle name="40% - Accent6 4" xfId="328"/>
    <cellStyle name="40% - Accent6 4 2" xfId="329"/>
    <cellStyle name="40% - Accent6 4 2 2" xfId="330"/>
    <cellStyle name="40% - Accent6 4 3" xfId="331"/>
    <cellStyle name="40% - Accent6 5" xfId="332"/>
    <cellStyle name="40% - Accent6 5 2" xfId="333"/>
    <cellStyle name="40% - Accent6 6" xfId="334"/>
    <cellStyle name="40% - Accent6 6 2" xfId="335"/>
    <cellStyle name="40% - Accent6 7" xfId="336"/>
    <cellStyle name="60% - Accent1" xfId="337" builtinId="32" customBuiltin="1"/>
    <cellStyle name="60% - Accent2" xfId="338" builtinId="36" customBuiltin="1"/>
    <cellStyle name="60% - Accent3" xfId="339" builtinId="40" customBuiltin="1"/>
    <cellStyle name="60% - Accent4" xfId="340" builtinId="44" customBuiltin="1"/>
    <cellStyle name="60% - Accent5" xfId="341" builtinId="48" customBuiltin="1"/>
    <cellStyle name="60% - Accent6" xfId="342" builtinId="52" customBuiltin="1"/>
    <cellStyle name="Accent1" xfId="343" builtinId="29" customBuiltin="1"/>
    <cellStyle name="Accent2" xfId="344" builtinId="33" customBuiltin="1"/>
    <cellStyle name="Accent3" xfId="345" builtinId="37" customBuiltin="1"/>
    <cellStyle name="Accent4" xfId="346" builtinId="41" customBuiltin="1"/>
    <cellStyle name="Accent5" xfId="347" builtinId="45" customBuiltin="1"/>
    <cellStyle name="Accent6" xfId="348" builtinId="49" customBuiltin="1"/>
    <cellStyle name="Bad" xfId="349" builtinId="27" customBuiltin="1"/>
    <cellStyle name="Calculation" xfId="350" builtinId="22" customBuiltin="1"/>
    <cellStyle name="Check Cell" xfId="351" builtinId="23" customBuiltin="1"/>
    <cellStyle name="Comma 2" xfId="352"/>
    <cellStyle name="Excel Built-in Normal" xfId="353"/>
    <cellStyle name="Excel Built-in Normal 2" xfId="354"/>
    <cellStyle name="Excel Built-in Normal 2 2" xfId="355"/>
    <cellStyle name="Explanatory Text" xfId="356" builtinId="53" customBuiltin="1"/>
    <cellStyle name="Good" xfId="357" builtinId="26" customBuiltin="1"/>
    <cellStyle name="Heading 1" xfId="358" builtinId="16" customBuiltin="1"/>
    <cellStyle name="Heading 2" xfId="359" builtinId="17" customBuiltin="1"/>
    <cellStyle name="Heading 3" xfId="360" builtinId="18" customBuiltin="1"/>
    <cellStyle name="Heading 4" xfId="361" builtinId="19" customBuiltin="1"/>
    <cellStyle name="Input" xfId="362" builtinId="20" customBuiltin="1"/>
    <cellStyle name="Linked Cell" xfId="363" builtinId="24" customBuiltin="1"/>
    <cellStyle name="Neutral" xfId="364" builtinId="28" customBuiltin="1"/>
    <cellStyle name="Normal" xfId="0" builtinId="0"/>
    <cellStyle name="Normal 2" xfId="365"/>
    <cellStyle name="Normal 2 10" xfId="366"/>
    <cellStyle name="Normal 2 2" xfId="367"/>
    <cellStyle name="Normal 2 2 2" xfId="368"/>
    <cellStyle name="Normal 2 2 2 2" xfId="369"/>
    <cellStyle name="Normal 2 2 2 2 2" xfId="370"/>
    <cellStyle name="Normal 2 2 2 3" xfId="371"/>
    <cellStyle name="Normal 2 2 3" xfId="372"/>
    <cellStyle name="Normal 2 2 3 2" xfId="373"/>
    <cellStyle name="Normal 2 2 3 2 2" xfId="374"/>
    <cellStyle name="Normal 2 2 3 3" xfId="375"/>
    <cellStyle name="Normal 2 2 4" xfId="376"/>
    <cellStyle name="Normal 2 2 4 2" xfId="377"/>
    <cellStyle name="Normal 2 2 5" xfId="378"/>
    <cellStyle name="Normal 2 2 5 2" xfId="379"/>
    <cellStyle name="Normal 2 2 6" xfId="380"/>
    <cellStyle name="Normal 2 3" xfId="381"/>
    <cellStyle name="Normal 2 3 2" xfId="382"/>
    <cellStyle name="Normal 2 3 2 2" xfId="383"/>
    <cellStyle name="Normal 2 3 3" xfId="384"/>
    <cellStyle name="Normal 2 4" xfId="385"/>
    <cellStyle name="Normal 2 4 2" xfId="386"/>
    <cellStyle name="Normal 2 4 2 2" xfId="387"/>
    <cellStyle name="Normal 2 4 3" xfId="388"/>
    <cellStyle name="Normal 2 5" xfId="389"/>
    <cellStyle name="Normal 2 5 2" xfId="390"/>
    <cellStyle name="Normal 2 6" xfId="391"/>
    <cellStyle name="Normal 2 6 2" xfId="392"/>
    <cellStyle name="Normal 2 7" xfId="393"/>
    <cellStyle name="Normal 2 8" xfId="394"/>
    <cellStyle name="Normal 2 9" xfId="395"/>
    <cellStyle name="Normal 3" xfId="396"/>
    <cellStyle name="Normal 4" xfId="397"/>
    <cellStyle name="Note 2" xfId="398"/>
    <cellStyle name="Output" xfId="399" builtinId="21" customBuiltin="1"/>
    <cellStyle name="Title" xfId="400" builtinId="15" customBuiltin="1"/>
    <cellStyle name="Total" xfId="401" builtinId="25" customBuiltin="1"/>
    <cellStyle name="Warning Text" xfId="402"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F4:Q11"/>
  <sheetViews>
    <sheetView workbookViewId="0">
      <selection activeCell="F11" sqref="F11:Q11"/>
    </sheetView>
  </sheetViews>
  <sheetFormatPr defaultRowHeight="12.75" x14ac:dyDescent="0.2"/>
  <sheetData>
    <row r="4" spans="6:17" x14ac:dyDescent="0.2">
      <c r="F4" s="351" t="s">
        <v>211</v>
      </c>
      <c r="G4" s="351"/>
      <c r="H4" s="351"/>
      <c r="I4" s="351"/>
      <c r="J4" s="351"/>
      <c r="K4" s="351"/>
      <c r="L4" s="351"/>
      <c r="M4" s="351"/>
      <c r="N4" s="351"/>
      <c r="O4" s="351"/>
      <c r="P4" s="351"/>
      <c r="Q4" s="351"/>
    </row>
    <row r="5" spans="6:17" x14ac:dyDescent="0.2">
      <c r="F5" s="351"/>
      <c r="G5" s="351"/>
      <c r="H5" s="351"/>
      <c r="I5" s="351"/>
      <c r="J5" s="351"/>
      <c r="K5" s="351"/>
      <c r="L5" s="351"/>
      <c r="M5" s="351"/>
      <c r="N5" s="351"/>
      <c r="O5" s="351"/>
      <c r="P5" s="351"/>
      <c r="Q5" s="351"/>
    </row>
    <row r="6" spans="6:17" ht="13.5" thickBot="1" x14ac:dyDescent="0.25">
      <c r="F6" s="335"/>
      <c r="G6" s="335"/>
      <c r="H6" s="335"/>
      <c r="I6" s="335"/>
      <c r="J6" s="335"/>
      <c r="K6" s="335"/>
      <c r="L6" s="335"/>
      <c r="M6" s="335"/>
      <c r="N6" s="335"/>
      <c r="O6" s="335"/>
      <c r="P6" s="335"/>
      <c r="Q6" s="335"/>
    </row>
    <row r="7" spans="6:17" ht="14.25" thickTop="1" thickBot="1" x14ac:dyDescent="0.25">
      <c r="F7" s="340" t="s">
        <v>212</v>
      </c>
      <c r="G7" s="347" t="s">
        <v>213</v>
      </c>
      <c r="H7" s="348"/>
      <c r="I7" s="348"/>
      <c r="J7" s="348"/>
      <c r="K7" s="348"/>
      <c r="L7" s="348"/>
      <c r="M7" s="348"/>
      <c r="N7" s="348"/>
      <c r="O7" s="348"/>
      <c r="P7" s="348"/>
      <c r="Q7" s="349"/>
    </row>
    <row r="8" spans="6:17" ht="14.25" thickTop="1" thickBot="1" x14ac:dyDescent="0.25">
      <c r="F8" s="341"/>
      <c r="G8" s="344" t="s">
        <v>214</v>
      </c>
      <c r="H8" s="345"/>
      <c r="I8" s="345"/>
      <c r="J8" s="345"/>
      <c r="K8" s="345"/>
      <c r="L8" s="345"/>
      <c r="M8" s="345"/>
      <c r="N8" s="345"/>
      <c r="O8" s="345"/>
      <c r="P8" s="345"/>
      <c r="Q8" s="346"/>
    </row>
    <row r="9" spans="6:17" ht="14.25" thickTop="1" thickBot="1" x14ac:dyDescent="0.25">
      <c r="F9" s="342"/>
      <c r="G9" s="339" t="s">
        <v>215</v>
      </c>
      <c r="H9" s="338"/>
      <c r="I9" s="338"/>
      <c r="J9" s="338"/>
      <c r="K9" s="338"/>
      <c r="L9" s="338"/>
      <c r="M9" s="338"/>
      <c r="N9" s="338"/>
      <c r="O9" s="338"/>
      <c r="P9" s="337"/>
      <c r="Q9" s="336"/>
    </row>
    <row r="10" spans="6:17" ht="13.5" thickTop="1" x14ac:dyDescent="0.2">
      <c r="F10" s="335"/>
      <c r="G10" s="335"/>
      <c r="H10" s="335"/>
      <c r="I10" s="335"/>
      <c r="J10" s="335"/>
      <c r="K10" s="335"/>
      <c r="L10" s="335"/>
      <c r="M10" s="335"/>
      <c r="N10" s="335"/>
      <c r="O10" s="335"/>
      <c r="P10" s="335"/>
      <c r="Q10" s="335"/>
    </row>
    <row r="11" spans="6:17" x14ac:dyDescent="0.2">
      <c r="F11" s="350" t="s">
        <v>216</v>
      </c>
      <c r="G11" s="350"/>
      <c r="H11" s="350"/>
      <c r="I11" s="350"/>
      <c r="J11" s="350"/>
      <c r="K11" s="350"/>
      <c r="L11" s="350"/>
      <c r="M11" s="350"/>
      <c r="N11" s="350"/>
      <c r="O11" s="350"/>
      <c r="P11" s="350"/>
      <c r="Q11" s="350"/>
    </row>
  </sheetData>
  <mergeCells count="4">
    <mergeCell ref="G8:Q8"/>
    <mergeCell ref="G7:Q7"/>
    <mergeCell ref="F11:Q11"/>
    <mergeCell ref="F4:Q5"/>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82"/>
  <sheetViews>
    <sheetView zoomScale="80" zoomScaleNormal="80" workbookViewId="0">
      <pane xSplit="3" ySplit="1" topLeftCell="P2" activePane="bottomRight" state="frozen"/>
      <selection pane="topRight" activeCell="D1" sqref="D1"/>
      <selection pane="bottomLeft" activeCell="A2" sqref="A2"/>
      <selection pane="bottomRight" activeCell="K45" sqref="K45"/>
    </sheetView>
  </sheetViews>
  <sheetFormatPr defaultColWidth="8.85546875" defaultRowHeight="14.25" x14ac:dyDescent="0.2"/>
  <cols>
    <col min="1" max="1" width="13.7109375" bestFit="1" customWidth="1"/>
    <col min="2" max="2" width="9.28515625" bestFit="1" customWidth="1"/>
    <col min="3" max="3" width="21" bestFit="1" customWidth="1"/>
    <col min="4" max="4" width="12.28515625" style="28" bestFit="1" customWidth="1"/>
    <col min="5" max="5" width="9.28515625" style="32" bestFit="1" customWidth="1"/>
    <col min="6" max="6" width="20.5703125" style="28" bestFit="1" customWidth="1"/>
    <col min="7" max="7" width="13.7109375" bestFit="1" customWidth="1"/>
    <col min="8" max="8" width="9.28515625" bestFit="1" customWidth="1"/>
    <col min="9" max="9" width="21" bestFit="1" customWidth="1"/>
    <col min="10" max="10" width="13.7109375" bestFit="1" customWidth="1"/>
    <col min="11" max="11" width="9.28515625" bestFit="1" customWidth="1"/>
    <col min="12" max="12" width="21" bestFit="1" customWidth="1"/>
    <col min="13" max="13" width="12.28515625" style="28" bestFit="1" customWidth="1"/>
    <col min="14" max="14" width="9.28515625" style="32" bestFit="1" customWidth="1"/>
    <col min="15" max="15" width="20.5703125" style="28" bestFit="1" customWidth="1"/>
    <col min="16" max="16" width="13.7109375" bestFit="1" customWidth="1"/>
    <col min="17" max="17" width="9.28515625" bestFit="1" customWidth="1"/>
    <col min="18" max="18" width="21" bestFit="1" customWidth="1"/>
    <col min="19" max="19" width="13.7109375" bestFit="1" customWidth="1"/>
    <col min="20" max="20" width="9.28515625" bestFit="1" customWidth="1"/>
    <col min="21" max="21" width="21" bestFit="1" customWidth="1"/>
    <col min="22" max="22" width="12.28515625" style="28" bestFit="1" customWidth="1"/>
    <col min="23" max="23" width="9.28515625" style="28" bestFit="1" customWidth="1"/>
    <col min="24" max="24" width="20.5703125" style="28" bestFit="1" customWidth="1"/>
    <col min="25" max="25" width="13.7109375" bestFit="1" customWidth="1"/>
    <col min="26" max="26" width="9.28515625" bestFit="1" customWidth="1"/>
    <col min="27" max="27" width="21" bestFit="1" customWidth="1"/>
    <col min="28" max="28" width="13.7109375" bestFit="1" customWidth="1"/>
    <col min="29" max="29" width="9.28515625" bestFit="1" customWidth="1"/>
    <col min="30" max="30" width="21" bestFit="1" customWidth="1"/>
    <col min="31" max="31" width="12.28515625" style="28" bestFit="1" customWidth="1"/>
    <col min="32" max="32" width="9.28515625" style="32" bestFit="1" customWidth="1"/>
    <col min="33" max="33" width="20.5703125" style="28" bestFit="1" customWidth="1"/>
    <col min="34" max="34" width="13.7109375" bestFit="1" customWidth="1"/>
    <col min="35" max="35" width="9.28515625" bestFit="1" customWidth="1"/>
    <col min="36" max="36" width="21" bestFit="1" customWidth="1"/>
    <col min="37" max="37" width="13.7109375" bestFit="1" customWidth="1"/>
    <col min="38" max="38" width="13" bestFit="1" customWidth="1"/>
    <col min="39" max="39" width="21" bestFit="1" customWidth="1"/>
    <col min="40" max="16384" width="8.85546875" style="1"/>
  </cols>
  <sheetData>
    <row r="1" spans="1:39" ht="21.75" thickTop="1" thickBot="1" x14ac:dyDescent="0.3">
      <c r="A1" s="364" t="s">
        <v>6</v>
      </c>
      <c r="B1" s="365"/>
      <c r="C1" s="366"/>
      <c r="D1" s="431" t="s">
        <v>171</v>
      </c>
      <c r="E1" s="432"/>
      <c r="F1" s="433"/>
      <c r="G1" s="434" t="s">
        <v>187</v>
      </c>
      <c r="H1" s="432"/>
      <c r="I1" s="433"/>
      <c r="J1" s="434" t="s">
        <v>188</v>
      </c>
      <c r="K1" s="432"/>
      <c r="L1" s="433"/>
      <c r="M1" s="420" t="s">
        <v>172</v>
      </c>
      <c r="N1" s="421"/>
      <c r="O1" s="422"/>
      <c r="P1" s="420" t="s">
        <v>189</v>
      </c>
      <c r="Q1" s="421"/>
      <c r="R1" s="422"/>
      <c r="S1" s="420" t="s">
        <v>168</v>
      </c>
      <c r="T1" s="421"/>
      <c r="U1" s="422"/>
      <c r="V1" s="423" t="s">
        <v>173</v>
      </c>
      <c r="W1" s="424"/>
      <c r="X1" s="425"/>
      <c r="Y1" s="423" t="s">
        <v>190</v>
      </c>
      <c r="Z1" s="424"/>
      <c r="AA1" s="425"/>
      <c r="AB1" s="423" t="s">
        <v>169</v>
      </c>
      <c r="AC1" s="424"/>
      <c r="AD1" s="425"/>
      <c r="AE1" s="417" t="s">
        <v>174</v>
      </c>
      <c r="AF1" s="418"/>
      <c r="AG1" s="419"/>
      <c r="AH1" s="417" t="s">
        <v>191</v>
      </c>
      <c r="AI1" s="418"/>
      <c r="AJ1" s="419"/>
      <c r="AK1" s="417" t="s">
        <v>170</v>
      </c>
      <c r="AL1" s="418"/>
      <c r="AM1" s="419"/>
    </row>
    <row r="2" spans="1:39" ht="15" thickTop="1" x14ac:dyDescent="0.2">
      <c r="A2" s="372" t="s">
        <v>112</v>
      </c>
      <c r="B2" s="373"/>
      <c r="C2" s="373"/>
      <c r="D2" s="183" t="s">
        <v>175</v>
      </c>
      <c r="E2" s="163">
        <f>1/((1/E17)+(1/E18)+(1/E20))</f>
        <v>4.0121689363596343E-4</v>
      </c>
      <c r="F2" s="155" t="s">
        <v>176</v>
      </c>
      <c r="G2" s="84" t="s">
        <v>82</v>
      </c>
      <c r="H2" s="232">
        <f>(H17*H18*H19)/(H20*H22*H35*H33*H34*H37*H27*(1/365)*((H32*H30)+(H36*H29))*(1/24))</f>
        <v>15.391418608722999</v>
      </c>
      <c r="I2" s="49" t="s">
        <v>108</v>
      </c>
      <c r="J2" s="84" t="s">
        <v>82</v>
      </c>
      <c r="K2" s="232">
        <f>(K17*K18*K19)/(K20*K22*K35*K33*K34*K37*K27*(1/365)*((K32*K30)+(K36*K29))*(1/24))</f>
        <v>28.473425610309683</v>
      </c>
      <c r="L2" s="49" t="s">
        <v>108</v>
      </c>
      <c r="M2" s="184" t="s">
        <v>175</v>
      </c>
      <c r="N2" s="165">
        <f>1/((1/N17)+(1/N18)+(1/N20))</f>
        <v>6.3655615490205324E-5</v>
      </c>
      <c r="O2" s="146" t="s">
        <v>176</v>
      </c>
      <c r="P2" s="91" t="s">
        <v>82</v>
      </c>
      <c r="Q2" s="229">
        <f>(Q17*Q18*Q19)/(Q20*Q22*Q30*Q35*Q33*Q34*Q37*Q32*(1/24)*Q27*(1/365))</f>
        <v>15.391418608722997</v>
      </c>
      <c r="R2" s="92" t="s">
        <v>108</v>
      </c>
      <c r="S2" s="91" t="s">
        <v>82</v>
      </c>
      <c r="T2" s="229">
        <f>(T17*T18*T19)/(T20*T22*T35*T33*T34*T37*T27*(1/365)*T30*T32*(1/24))</f>
        <v>28.473425610309683</v>
      </c>
      <c r="U2" s="92" t="s">
        <v>108</v>
      </c>
      <c r="V2" s="185" t="s">
        <v>175</v>
      </c>
      <c r="W2" s="172">
        <f>1/((1/W17)+(1/W18)+(1/W20))</f>
        <v>6.3655615490205324E-5</v>
      </c>
      <c r="X2" s="167" t="s">
        <v>176</v>
      </c>
      <c r="Y2" s="75" t="s">
        <v>82</v>
      </c>
      <c r="Z2" s="223">
        <f>(Z17*Z18*Z19)/(Z20*Z22*Z30*Z35*Z33*Z34*Z37*Z32*(1/24)*Z27*(1/365))</f>
        <v>15.391418608722997</v>
      </c>
      <c r="AA2" s="76" t="s">
        <v>108</v>
      </c>
      <c r="AB2" s="75" t="s">
        <v>82</v>
      </c>
      <c r="AC2" s="223">
        <f>(AC17*AC18*AC19)/(AC20*AC22*AC35*AC33*AC34*AC37*AC27*(1/365)*AC30*AC32*(1/24))</f>
        <v>28.473425610309683</v>
      </c>
      <c r="AD2" s="76" t="s">
        <v>108</v>
      </c>
      <c r="AE2" s="186" t="s">
        <v>175</v>
      </c>
      <c r="AF2" s="164">
        <f>1/((1/AF17)+(1/AF18)+(1/AF20))</f>
        <v>4.0296933495585734E-6</v>
      </c>
      <c r="AG2" s="149" t="s">
        <v>176</v>
      </c>
      <c r="AH2" s="175" t="s">
        <v>82</v>
      </c>
      <c r="AI2" s="226">
        <f>(AI17*AI18*AI19)/(AI20*AI22*AI30*AI35*AI33*AI34*AI37*AI32*(1/24)*AI27*(1/365))</f>
        <v>102.60945739148666</v>
      </c>
      <c r="AJ2" s="50" t="s">
        <v>108</v>
      </c>
      <c r="AK2" s="175" t="s">
        <v>82</v>
      </c>
      <c r="AL2" s="226">
        <f>(AL17*AL18*AL19)/(AL20*AL22*AL35*AL33*AL34*AL37*AL27*(1/365)*AL30*AL32*(1/24))</f>
        <v>189.82283740206449</v>
      </c>
      <c r="AM2" s="50" t="s">
        <v>108</v>
      </c>
    </row>
    <row r="3" spans="1:39" ht="15" thickBot="1" x14ac:dyDescent="0.25">
      <c r="A3" s="375"/>
      <c r="B3" s="376"/>
      <c r="C3" s="376"/>
      <c r="D3" s="154" t="s">
        <v>177</v>
      </c>
      <c r="E3" s="169">
        <f>1/((1/E17)+(1/E19)+(1/E20))</f>
        <v>7.5062573915036009E-3</v>
      </c>
      <c r="F3" s="152" t="s">
        <v>176</v>
      </c>
      <c r="G3" s="85" t="s">
        <v>83</v>
      </c>
      <c r="H3" s="233">
        <f>(H17*H18*H19)/(H20*H23*H35*H33*H34*H37*H27*(1/365)*((H32*H30)+(H36*H29))*(1/24))</f>
        <v>22.451098414930893</v>
      </c>
      <c r="I3" s="86" t="s">
        <v>110</v>
      </c>
      <c r="J3" s="85" t="s">
        <v>83</v>
      </c>
      <c r="K3" s="233">
        <f>(K17*K18*K19)/(K20*K23*K35*K33*K34*K38*K27*(1/365)*((K32*K30)+(K36*K29))*(1/24))</f>
        <v>38.681470113787924</v>
      </c>
      <c r="L3" s="86" t="s">
        <v>110</v>
      </c>
      <c r="M3" s="145" t="s">
        <v>177</v>
      </c>
      <c r="N3" s="173">
        <f>1/((1/N17)+(1/N19)+(1/N20))</f>
        <v>4.3622462652624962E-3</v>
      </c>
      <c r="O3" s="140" t="s">
        <v>176</v>
      </c>
      <c r="P3" s="93" t="s">
        <v>83</v>
      </c>
      <c r="Q3" s="230">
        <f>(Q17*Q18*Q19)/(Q20*Q23*Q30*Q35*Q33*Q34*Q37*Q32*(1/24)*Q27*(1/365))</f>
        <v>22.45109841493089</v>
      </c>
      <c r="R3" s="94" t="s">
        <v>110</v>
      </c>
      <c r="S3" s="93" t="s">
        <v>83</v>
      </c>
      <c r="T3" s="230">
        <f>(T17*T18*T19)/(T20*T23*T30*T35*T33*T34*T38*T32*(1/24)*T27*(1/365))</f>
        <v>38.681470113787924</v>
      </c>
      <c r="U3" s="94" t="s">
        <v>110</v>
      </c>
      <c r="V3" s="159" t="s">
        <v>177</v>
      </c>
      <c r="W3" s="171">
        <f>1/((1/W17)+(1/W19)+(1/W20))</f>
        <v>4.3622462652624962E-3</v>
      </c>
      <c r="X3" s="157" t="s">
        <v>176</v>
      </c>
      <c r="Y3" s="77" t="s">
        <v>83</v>
      </c>
      <c r="Z3" s="224">
        <f>(Z17*Z18*Z19)/(Z20*Z23*Z30*Z35*Z33*Z34*Z37*Z32*(1/24)*Z27*(1/365))</f>
        <v>22.45109841493089</v>
      </c>
      <c r="AA3" s="78" t="s">
        <v>110</v>
      </c>
      <c r="AB3" s="77" t="s">
        <v>83</v>
      </c>
      <c r="AC3" s="224">
        <f>(AC17*AC18*AC19)/(AC20*AC23*AC30*AC35*AC33*AC34*AC38*AC32*(1/24)*AC27*(1/365))</f>
        <v>38.681470113787924</v>
      </c>
      <c r="AD3" s="78" t="s">
        <v>110</v>
      </c>
      <c r="AE3" s="148" t="s">
        <v>177</v>
      </c>
      <c r="AF3" s="174">
        <f>1/((1/AF17)+(1/AF19)+(1/AF20))</f>
        <v>4.3624202125062206E-3</v>
      </c>
      <c r="AG3" s="142" t="s">
        <v>176</v>
      </c>
      <c r="AH3" s="176" t="s">
        <v>83</v>
      </c>
      <c r="AI3" s="227">
        <f>(AI17*AI18*AI19)/(AI20*AI23*AI30*AI35*AI33*AI34*AI37*AI32*(1/24)*AI27*(1/365))</f>
        <v>149.67398943287259</v>
      </c>
      <c r="AJ3" s="177" t="s">
        <v>110</v>
      </c>
      <c r="AK3" s="176" t="s">
        <v>83</v>
      </c>
      <c r="AL3" s="227">
        <f>(AL17*AL18*AL19)/(AL20*AL23*AL30*AL35*AL33*AL34*AL38*AL32*(1/24)*AL27*(1/365))</f>
        <v>257.87646742525288</v>
      </c>
      <c r="AM3" s="177" t="s">
        <v>110</v>
      </c>
    </row>
    <row r="4" spans="1:39" x14ac:dyDescent="0.2">
      <c r="A4" s="375"/>
      <c r="B4" s="376"/>
      <c r="C4" s="376"/>
      <c r="D4" s="153" t="s">
        <v>175</v>
      </c>
      <c r="E4" s="160">
        <f>E2/E51</f>
        <v>1.4845025064530662E-5</v>
      </c>
      <c r="F4" s="155" t="s">
        <v>178</v>
      </c>
      <c r="G4" s="85" t="s">
        <v>84</v>
      </c>
      <c r="H4" s="233">
        <f>(H17*H18*H19)/(H20*H24*H35*H33*H34*H37*H27*(1/365)*((H32*H30)+(H36*H29))*(1/24))</f>
        <v>31.254003093223236</v>
      </c>
      <c r="I4" s="86" t="s">
        <v>109</v>
      </c>
      <c r="J4" s="85" t="s">
        <v>84</v>
      </c>
      <c r="K4" s="233">
        <f>(K17*K18*K19)/(K20*K24*K35*K33*K34*K39*K27*(1/365)*((K32*K30)+(K36*K29))*(1/24))</f>
        <v>58.621416832774862</v>
      </c>
      <c r="L4" s="86" t="s">
        <v>109</v>
      </c>
      <c r="M4" s="144" t="s">
        <v>175</v>
      </c>
      <c r="N4" s="162">
        <f>N2/N41</f>
        <v>2.3552577731375994E-6</v>
      </c>
      <c r="O4" s="146" t="s">
        <v>178</v>
      </c>
      <c r="P4" s="93" t="s">
        <v>84</v>
      </c>
      <c r="Q4" s="230">
        <f>(Q17*Q18*Q19)/(Q20*Q24*Q30*Q35*Q33*Q34*Q37*Q32*(1/24)*Q27*(1/365))</f>
        <v>31.254003093223236</v>
      </c>
      <c r="R4" s="94" t="s">
        <v>109</v>
      </c>
      <c r="S4" s="93" t="s">
        <v>84</v>
      </c>
      <c r="T4" s="230">
        <f>(T17*T18*T19)/(T20*T24*T30*T35*T33*T34*T39*T32*(1/24)*T27*(1/365))</f>
        <v>58.621416832774855</v>
      </c>
      <c r="U4" s="94" t="s">
        <v>109</v>
      </c>
      <c r="V4" s="158" t="s">
        <v>175</v>
      </c>
      <c r="W4" s="170">
        <f>W2/W41</f>
        <v>2.3552577731375994E-6</v>
      </c>
      <c r="X4" s="167" t="s">
        <v>178</v>
      </c>
      <c r="Y4" s="77" t="s">
        <v>84</v>
      </c>
      <c r="Z4" s="224">
        <f>(Z17*Z18*Z19)/(Z20*Z24*Z30*Z35*Z33*Z34*Z37*Z32*(1/24)*Z27*(1/365))</f>
        <v>31.254003093223236</v>
      </c>
      <c r="AA4" s="78" t="s">
        <v>109</v>
      </c>
      <c r="AB4" s="77" t="s">
        <v>84</v>
      </c>
      <c r="AC4" s="224">
        <f>(AC17*AC18*AC19)/(AC20*AC24*AC30*AC35*AC33*AC34*AC39*AC32*(1/24)*AC27*(1/365))</f>
        <v>58.621416832774855</v>
      </c>
      <c r="AD4" s="78" t="s">
        <v>109</v>
      </c>
      <c r="AE4" s="147" t="s">
        <v>175</v>
      </c>
      <c r="AF4" s="161">
        <f>AF2/AF41</f>
        <v>1.4909865393366736E-7</v>
      </c>
      <c r="AG4" s="149" t="s">
        <v>178</v>
      </c>
      <c r="AH4" s="176" t="s">
        <v>84</v>
      </c>
      <c r="AI4" s="227">
        <f>(AI17*AI18*AI19)/(AI20*AI24*AI30*AI35*AI33*AI34*AI37*AI32*(1/24)*AI27*(1/365))</f>
        <v>208.36002062148822</v>
      </c>
      <c r="AJ4" s="177" t="s">
        <v>109</v>
      </c>
      <c r="AK4" s="176" t="s">
        <v>84</v>
      </c>
      <c r="AL4" s="227">
        <f>(AL17*AL18*AL19)/(AL20*AL24*AL30*AL35*AL33*AL34*AL39*AL32*(1/24)*AL27*(1/365))</f>
        <v>390.80944555183243</v>
      </c>
      <c r="AM4" s="177" t="s">
        <v>109</v>
      </c>
    </row>
    <row r="5" spans="1:39" ht="15" thickBot="1" x14ac:dyDescent="0.25">
      <c r="A5" s="378"/>
      <c r="B5" s="379"/>
      <c r="C5" s="379"/>
      <c r="D5" s="154" t="s">
        <v>177</v>
      </c>
      <c r="E5" s="169">
        <f>E3/E51</f>
        <v>2.777315234856335E-4</v>
      </c>
      <c r="F5" s="156" t="s">
        <v>178</v>
      </c>
      <c r="G5" s="85" t="s">
        <v>85</v>
      </c>
      <c r="H5" s="233">
        <f>(H17*H18*H19)/(H20*H25*H35*H33*H34*H37*H27*(1/365)*((H32*H30)+(H36*H29))*(1/24))</f>
        <v>16.556174611545281</v>
      </c>
      <c r="I5" s="86" t="s">
        <v>109</v>
      </c>
      <c r="J5" s="85" t="s">
        <v>85</v>
      </c>
      <c r="K5" s="233">
        <f>(K17*K18*K19)/(K20*K25*K35*K33*K34*K40*K27*(1/365)*((K32*K30)+(K36*K29))*(1/24))</f>
        <v>32.416874111960823</v>
      </c>
      <c r="L5" s="86" t="s">
        <v>109</v>
      </c>
      <c r="M5" s="145" t="s">
        <v>177</v>
      </c>
      <c r="N5" s="173">
        <f>N3/N41</f>
        <v>1.6140311181471253E-4</v>
      </c>
      <c r="O5" s="141" t="s">
        <v>178</v>
      </c>
      <c r="P5" s="93" t="s">
        <v>85</v>
      </c>
      <c r="Q5" s="230">
        <f>(Q17*Q18*Q19)/(Q20*Q25*Q30*Q35*Q33*Q34*Q37*Q32*(1/24)*Q27*(1/365))</f>
        <v>16.556174611545284</v>
      </c>
      <c r="R5" s="94" t="s">
        <v>109</v>
      </c>
      <c r="S5" s="93" t="s">
        <v>85</v>
      </c>
      <c r="T5" s="230">
        <f>(T17*T18*T19)/(T20*T25*T30*T35*T33*T34*T40*T32*(1/24)*T27*(1/365))</f>
        <v>32.416874111960816</v>
      </c>
      <c r="U5" s="94" t="s">
        <v>109</v>
      </c>
      <c r="V5" s="159" t="s">
        <v>177</v>
      </c>
      <c r="W5" s="171">
        <f>W3/W41</f>
        <v>1.6140311181471253E-4</v>
      </c>
      <c r="X5" s="168" t="s">
        <v>178</v>
      </c>
      <c r="Y5" s="77" t="s">
        <v>85</v>
      </c>
      <c r="Z5" s="224">
        <f>(Z17*Z18*Z19)/(Z20*Z25*Z30*Z35*Z33*Z34*Z37*Z32*(1/24)*Z27*(1/365))</f>
        <v>16.556174611545284</v>
      </c>
      <c r="AA5" s="78" t="s">
        <v>109</v>
      </c>
      <c r="AB5" s="77" t="s">
        <v>85</v>
      </c>
      <c r="AC5" s="224">
        <f>(AC17*AC18*AC19)/(AC20*AC25*AC30*AC35*AC33*AC34*AC40*AC32*(1/24)*AC27*(1/365))</f>
        <v>32.416874111960816</v>
      </c>
      <c r="AD5" s="78" t="s">
        <v>109</v>
      </c>
      <c r="AE5" s="148" t="s">
        <v>177</v>
      </c>
      <c r="AF5" s="174">
        <f>AF3/AF41</f>
        <v>1.6140954786273033E-4</v>
      </c>
      <c r="AG5" s="143" t="s">
        <v>178</v>
      </c>
      <c r="AH5" s="176" t="s">
        <v>85</v>
      </c>
      <c r="AI5" s="227">
        <f>(AI17*AI18*AI19)/(AI20*AI25*AI30*AI35*AI33*AI34*AI37*AI32*(1/24)*AI27*(1/365))</f>
        <v>110.37449741030188</v>
      </c>
      <c r="AJ5" s="177" t="s">
        <v>109</v>
      </c>
      <c r="AK5" s="176" t="s">
        <v>85</v>
      </c>
      <c r="AL5" s="227">
        <f>(AL17*AL18*AL19)/(AL20*AL25*AL30*AL35*AL33*AL34*AL40*AL32*(1/24)*AL27*(1/365))</f>
        <v>216.11249407973878</v>
      </c>
      <c r="AM5" s="177" t="s">
        <v>109</v>
      </c>
    </row>
    <row r="6" spans="1:39" ht="15.75" thickTop="1" thickBot="1" x14ac:dyDescent="0.25">
      <c r="A6" s="28" t="s">
        <v>21</v>
      </c>
      <c r="B6" s="190">
        <v>1</v>
      </c>
      <c r="C6" s="28" t="s">
        <v>138</v>
      </c>
      <c r="D6" s="153" t="s">
        <v>175</v>
      </c>
      <c r="E6" s="160">
        <f>E2*E13*E50*E52</f>
        <v>1.1696018104463678E-13</v>
      </c>
      <c r="F6" s="155" t="s">
        <v>179</v>
      </c>
      <c r="G6" s="87" t="s">
        <v>86</v>
      </c>
      <c r="H6" s="234">
        <f>(H17*H18*H19)/(H20*H26*H35*H33*H34*H37*H27*(1/365)*((H32*H30)+(H36*H29))*(1/24))</f>
        <v>15.391418608722999</v>
      </c>
      <c r="I6" s="48" t="s">
        <v>109</v>
      </c>
      <c r="J6" s="87" t="s">
        <v>86</v>
      </c>
      <c r="K6" s="234">
        <f>(K17*K18*K19)/(K20*K26*K35*K33*K34*K41*K27*(1/365)*((K32*K30)+(K36*K29))*(1/24))</f>
        <v>32.400234242810832</v>
      </c>
      <c r="L6" s="48" t="s">
        <v>109</v>
      </c>
      <c r="M6" s="144" t="s">
        <v>175</v>
      </c>
      <c r="N6" s="162">
        <f>N2*N13*N40*N42</f>
        <v>1.8556477631765518E-14</v>
      </c>
      <c r="O6" s="146" t="s">
        <v>179</v>
      </c>
      <c r="P6" s="95" t="s">
        <v>86</v>
      </c>
      <c r="Q6" s="231">
        <f>(Q17*Q18*Q19)/(Q20*Q26*Q30*Q35*Q33*Q34*Q37*Q32*(1/24)*Q27*(1/365))</f>
        <v>15.391418608722997</v>
      </c>
      <c r="R6" s="96" t="s">
        <v>109</v>
      </c>
      <c r="S6" s="95" t="s">
        <v>86</v>
      </c>
      <c r="T6" s="231">
        <f>(T17*T18*T19)/(T20*T26*T30*T35*T33*T34*T41*T32*(1/24)*T27*(1/365))</f>
        <v>32.400234242810839</v>
      </c>
      <c r="U6" s="96" t="s">
        <v>109</v>
      </c>
      <c r="V6" s="158" t="s">
        <v>175</v>
      </c>
      <c r="W6" s="170">
        <f>W2*W13*W40*W42</f>
        <v>1.8556477631765518E-14</v>
      </c>
      <c r="X6" s="167" t="s">
        <v>179</v>
      </c>
      <c r="Y6" s="79" t="s">
        <v>86</v>
      </c>
      <c r="Z6" s="225">
        <f>(Z17*Z18*Z19)/(Z20*Z26*Z30*Z35*Z33*Z34*Z37*Z32*(1/24)*Z27*(1/365))</f>
        <v>15.391418608722997</v>
      </c>
      <c r="AA6" s="80" t="s">
        <v>109</v>
      </c>
      <c r="AB6" s="79" t="s">
        <v>86</v>
      </c>
      <c r="AC6" s="225">
        <f>(AC17*AC18*AC19)/(AC20*AC26*AC30*AC35*AC33*AC34*AC41*AC32*(1/24)*AC27*(1/365))</f>
        <v>32.400234242810839</v>
      </c>
      <c r="AD6" s="80" t="s">
        <v>109</v>
      </c>
      <c r="AE6" s="147" t="s">
        <v>175</v>
      </c>
      <c r="AF6" s="161">
        <f>AF2*AF13*AF40*AF42</f>
        <v>1.1747104152258783E-15</v>
      </c>
      <c r="AG6" s="149" t="s">
        <v>179</v>
      </c>
      <c r="AH6" s="178" t="s">
        <v>86</v>
      </c>
      <c r="AI6" s="228">
        <f>(AI17*AI18*AI19)/(AI20*AI26*AI30*AI35*AI33*AI34*AI37*AI32*(1/24)*AI27*(1/365))</f>
        <v>102.60945739148666</v>
      </c>
      <c r="AJ6" s="179" t="s">
        <v>109</v>
      </c>
      <c r="AK6" s="178" t="s">
        <v>86</v>
      </c>
      <c r="AL6" s="228">
        <f>(AL17*AL18*AL19)/(AL20*AL26*AL30*AL35*AL33*AL34*AL41*AL32*(1/24)*AL27*(1/365))</f>
        <v>216.00156161873889</v>
      </c>
      <c r="AM6" s="179" t="s">
        <v>109</v>
      </c>
    </row>
    <row r="7" spans="1:39" ht="15" thickBot="1" x14ac:dyDescent="0.25">
      <c r="A7" s="38" t="s">
        <v>22</v>
      </c>
      <c r="B7" s="151">
        <v>0.36297000000000001</v>
      </c>
      <c r="C7" s="40" t="s">
        <v>11</v>
      </c>
      <c r="D7" s="154" t="s">
        <v>177</v>
      </c>
      <c r="E7" s="169">
        <f>E3*E13*E50*E52</f>
        <v>2.1881761147238244E-12</v>
      </c>
      <c r="F7" s="156" t="s">
        <v>179</v>
      </c>
      <c r="G7" s="84" t="s">
        <v>82</v>
      </c>
      <c r="H7" s="232">
        <f>H2/H42</f>
        <v>0.56948248852275152</v>
      </c>
      <c r="I7" s="49" t="s">
        <v>105</v>
      </c>
      <c r="J7" s="84" t="s">
        <v>82</v>
      </c>
      <c r="K7" s="232">
        <f>K2/K42</f>
        <v>1.0535167475814593</v>
      </c>
      <c r="L7" s="49" t="s">
        <v>105</v>
      </c>
      <c r="M7" s="145" t="s">
        <v>177</v>
      </c>
      <c r="N7" s="173">
        <f>N3*N13*N40*N42</f>
        <v>1.2716541128732254E-12</v>
      </c>
      <c r="O7" s="141" t="s">
        <v>179</v>
      </c>
      <c r="P7" s="91" t="s">
        <v>82</v>
      </c>
      <c r="Q7" s="229">
        <f>Q2/Q42</f>
        <v>0.56948248852275152</v>
      </c>
      <c r="R7" s="92" t="s">
        <v>105</v>
      </c>
      <c r="S7" s="91" t="s">
        <v>82</v>
      </c>
      <c r="T7" s="229">
        <f>T2/T42</f>
        <v>1.0535167475814593</v>
      </c>
      <c r="U7" s="92" t="s">
        <v>105</v>
      </c>
      <c r="V7" s="159" t="s">
        <v>177</v>
      </c>
      <c r="W7" s="171">
        <f>W3*W13*W40*W42</f>
        <v>1.2716541128732254E-12</v>
      </c>
      <c r="X7" s="168" t="s">
        <v>179</v>
      </c>
      <c r="Y7" s="75" t="s">
        <v>82</v>
      </c>
      <c r="Z7" s="223">
        <f>Z2/Z42</f>
        <v>0.56948248852275152</v>
      </c>
      <c r="AA7" s="76" t="s">
        <v>105</v>
      </c>
      <c r="AB7" s="75" t="s">
        <v>82</v>
      </c>
      <c r="AC7" s="223">
        <f>AC2/AC42</f>
        <v>1.0535167475814593</v>
      </c>
      <c r="AD7" s="76" t="s">
        <v>105</v>
      </c>
      <c r="AE7" s="148" t="s">
        <v>177</v>
      </c>
      <c r="AF7" s="174">
        <f>AF3*AF13*AF40*AF42</f>
        <v>1.2717048208604535E-12</v>
      </c>
      <c r="AG7" s="143" t="s">
        <v>179</v>
      </c>
      <c r="AH7" s="175" t="s">
        <v>82</v>
      </c>
      <c r="AI7" s="226">
        <f>AI2/AI42</f>
        <v>3.79654992348501</v>
      </c>
      <c r="AJ7" s="50" t="s">
        <v>105</v>
      </c>
      <c r="AK7" s="175" t="s">
        <v>82</v>
      </c>
      <c r="AL7" s="226">
        <f>AL2/AL42</f>
        <v>7.0234449838763933</v>
      </c>
      <c r="AM7" s="50" t="s">
        <v>105</v>
      </c>
    </row>
    <row r="8" spans="1:39" x14ac:dyDescent="0.2">
      <c r="A8" s="38" t="s">
        <v>209</v>
      </c>
      <c r="B8" s="151">
        <v>8.8060000000000005E-4</v>
      </c>
      <c r="C8" s="38" t="s">
        <v>11</v>
      </c>
      <c r="D8" s="28" t="s">
        <v>21</v>
      </c>
      <c r="E8" s="32">
        <f>B6</f>
        <v>1</v>
      </c>
      <c r="F8" s="28" t="s">
        <v>138</v>
      </c>
      <c r="G8" s="85" t="s">
        <v>83</v>
      </c>
      <c r="H8" s="233">
        <f>H3/H42</f>
        <v>0.83069064135244386</v>
      </c>
      <c r="I8" s="86" t="s">
        <v>106</v>
      </c>
      <c r="J8" s="85" t="s">
        <v>83</v>
      </c>
      <c r="K8" s="233">
        <f>K3/K42</f>
        <v>1.4312143942101547</v>
      </c>
      <c r="L8" s="86" t="s">
        <v>106</v>
      </c>
      <c r="M8" s="28" t="s">
        <v>21</v>
      </c>
      <c r="N8" s="32">
        <f>B6</f>
        <v>1</v>
      </c>
      <c r="O8" s="28" t="s">
        <v>138</v>
      </c>
      <c r="P8" s="93" t="s">
        <v>83</v>
      </c>
      <c r="Q8" s="230">
        <f>Q3/Q42</f>
        <v>0.83069064135244375</v>
      </c>
      <c r="R8" s="94" t="s">
        <v>106</v>
      </c>
      <c r="S8" s="93" t="s">
        <v>83</v>
      </c>
      <c r="T8" s="230">
        <f>T3/T42</f>
        <v>1.4312143942101547</v>
      </c>
      <c r="U8" s="94" t="s">
        <v>106</v>
      </c>
      <c r="V8" s="28" t="s">
        <v>21</v>
      </c>
      <c r="W8" s="32">
        <f>B6</f>
        <v>1</v>
      </c>
      <c r="X8" s="28" t="s">
        <v>138</v>
      </c>
      <c r="Y8" s="77" t="s">
        <v>83</v>
      </c>
      <c r="Z8" s="224">
        <f>Z3/Z42</f>
        <v>0.83069064135244375</v>
      </c>
      <c r="AA8" s="78" t="s">
        <v>106</v>
      </c>
      <c r="AB8" s="77" t="s">
        <v>83</v>
      </c>
      <c r="AC8" s="224">
        <f>AC3/AC42</f>
        <v>1.4312143942101547</v>
      </c>
      <c r="AD8" s="78" t="s">
        <v>106</v>
      </c>
      <c r="AE8" s="28" t="s">
        <v>21</v>
      </c>
      <c r="AF8" s="32">
        <f>B6</f>
        <v>1</v>
      </c>
      <c r="AG8" s="28" t="s">
        <v>138</v>
      </c>
      <c r="AH8" s="176" t="s">
        <v>83</v>
      </c>
      <c r="AI8" s="227">
        <f>AI3/AI42</f>
        <v>5.5379376090162911</v>
      </c>
      <c r="AJ8" s="177" t="s">
        <v>106</v>
      </c>
      <c r="AK8" s="176" t="s">
        <v>83</v>
      </c>
      <c r="AL8" s="227">
        <f>AL3/AL42</f>
        <v>9.5414292947343657</v>
      </c>
      <c r="AM8" s="177" t="s">
        <v>106</v>
      </c>
    </row>
    <row r="9" spans="1:39" ht="19.5" x14ac:dyDescent="0.35">
      <c r="A9" s="38" t="s">
        <v>210</v>
      </c>
      <c r="B9" s="151">
        <v>7.5480000000000002E-4</v>
      </c>
      <c r="C9" s="38" t="s">
        <v>11</v>
      </c>
      <c r="D9" s="54" t="s">
        <v>206</v>
      </c>
      <c r="E9" s="32">
        <f>E38</f>
        <v>1</v>
      </c>
      <c r="G9" s="85" t="s">
        <v>84</v>
      </c>
      <c r="H9" s="233">
        <f>H4/H42</f>
        <v>1.156398114449261</v>
      </c>
      <c r="I9" s="86" t="s">
        <v>105</v>
      </c>
      <c r="J9" s="85" t="s">
        <v>84</v>
      </c>
      <c r="K9" s="233">
        <f>K4/K42</f>
        <v>2.1689924228126722</v>
      </c>
      <c r="L9" s="86" t="s">
        <v>105</v>
      </c>
      <c r="M9" s="54" t="s">
        <v>207</v>
      </c>
      <c r="N9" s="32">
        <f>N30</f>
        <v>1</v>
      </c>
      <c r="P9" s="93" t="s">
        <v>84</v>
      </c>
      <c r="Q9" s="230">
        <f>Q4/Q42</f>
        <v>1.156398114449261</v>
      </c>
      <c r="R9" s="94" t="s">
        <v>105</v>
      </c>
      <c r="S9" s="93" t="s">
        <v>84</v>
      </c>
      <c r="T9" s="230">
        <f>T4/T42</f>
        <v>2.1689924228126718</v>
      </c>
      <c r="U9" s="94" t="s">
        <v>105</v>
      </c>
      <c r="V9" s="54" t="s">
        <v>208</v>
      </c>
      <c r="W9" s="32">
        <f>W30</f>
        <v>1</v>
      </c>
      <c r="Y9" s="77" t="s">
        <v>84</v>
      </c>
      <c r="Z9" s="224">
        <f>Z4/Z42</f>
        <v>1.156398114449261</v>
      </c>
      <c r="AA9" s="78" t="s">
        <v>105</v>
      </c>
      <c r="AB9" s="77" t="s">
        <v>84</v>
      </c>
      <c r="AC9" s="224">
        <f>AC4/AC42</f>
        <v>2.1689924228126718</v>
      </c>
      <c r="AD9" s="78" t="s">
        <v>105</v>
      </c>
      <c r="AE9" s="54" t="s">
        <v>140</v>
      </c>
      <c r="AF9" s="32">
        <f>AF30</f>
        <v>1</v>
      </c>
      <c r="AH9" s="176" t="s">
        <v>84</v>
      </c>
      <c r="AI9" s="227">
        <f>AI4/AI42</f>
        <v>7.7093207629950715</v>
      </c>
      <c r="AJ9" s="177" t="s">
        <v>105</v>
      </c>
      <c r="AK9" s="176" t="s">
        <v>84</v>
      </c>
      <c r="AL9" s="227">
        <f>AL4/AL42</f>
        <v>14.459949485417814</v>
      </c>
      <c r="AM9" s="177" t="s">
        <v>105</v>
      </c>
    </row>
    <row r="10" spans="1:39" x14ac:dyDescent="0.2">
      <c r="A10" s="38" t="s">
        <v>113</v>
      </c>
      <c r="B10" s="151">
        <v>3.7173200000000003E-2</v>
      </c>
      <c r="C10" s="38" t="s">
        <v>198</v>
      </c>
      <c r="D10" s="54" t="s">
        <v>65</v>
      </c>
      <c r="E10" s="32">
        <f>B33</f>
        <v>0.38</v>
      </c>
      <c r="G10" s="85" t="s">
        <v>85</v>
      </c>
      <c r="H10" s="233">
        <f>H5/H42</f>
        <v>0.61257846062717602</v>
      </c>
      <c r="I10" s="86" t="s">
        <v>105</v>
      </c>
      <c r="J10" s="85" t="s">
        <v>85</v>
      </c>
      <c r="K10" s="233">
        <f>K5/K42</f>
        <v>1.1994243421425517</v>
      </c>
      <c r="L10" s="86" t="s">
        <v>105</v>
      </c>
      <c r="M10" s="54" t="s">
        <v>65</v>
      </c>
      <c r="N10" s="32">
        <f>B33</f>
        <v>0.38</v>
      </c>
      <c r="P10" s="93" t="s">
        <v>85</v>
      </c>
      <c r="Q10" s="230">
        <f>Q5/Q42</f>
        <v>0.61257846062717614</v>
      </c>
      <c r="R10" s="94" t="s">
        <v>105</v>
      </c>
      <c r="S10" s="93" t="s">
        <v>85</v>
      </c>
      <c r="T10" s="230">
        <f>T5/T42</f>
        <v>1.1994243421425514</v>
      </c>
      <c r="U10" s="94" t="s">
        <v>105</v>
      </c>
      <c r="V10" s="54" t="s">
        <v>65</v>
      </c>
      <c r="W10" s="32">
        <f>B33</f>
        <v>0.38</v>
      </c>
      <c r="Y10" s="77" t="s">
        <v>85</v>
      </c>
      <c r="Z10" s="224">
        <f>Z5/Z42</f>
        <v>0.61257846062717614</v>
      </c>
      <c r="AA10" s="78" t="s">
        <v>105</v>
      </c>
      <c r="AB10" s="77" t="s">
        <v>85</v>
      </c>
      <c r="AC10" s="224">
        <f>AC5/AC42</f>
        <v>1.1994243421425514</v>
      </c>
      <c r="AD10" s="78" t="s">
        <v>105</v>
      </c>
      <c r="AE10" s="54" t="s">
        <v>65</v>
      </c>
      <c r="AF10" s="32">
        <f>B33</f>
        <v>0.38</v>
      </c>
      <c r="AH10" s="176" t="s">
        <v>85</v>
      </c>
      <c r="AI10" s="227">
        <f>AI5/AI42</f>
        <v>4.0838564041811738</v>
      </c>
      <c r="AJ10" s="177" t="s">
        <v>105</v>
      </c>
      <c r="AK10" s="176" t="s">
        <v>85</v>
      </c>
      <c r="AL10" s="227">
        <f>AL5/AL42</f>
        <v>7.996162280950343</v>
      </c>
      <c r="AM10" s="177" t="s">
        <v>105</v>
      </c>
    </row>
    <row r="11" spans="1:39" ht="15" thickBot="1" x14ac:dyDescent="0.25">
      <c r="A11" s="38" t="s">
        <v>23</v>
      </c>
      <c r="B11" s="151">
        <v>2.5484199999999999E-2</v>
      </c>
      <c r="C11" s="38" t="s">
        <v>199</v>
      </c>
      <c r="D11" s="54" t="s">
        <v>1</v>
      </c>
      <c r="E11" s="51">
        <f>0.693/E13</f>
        <v>1.6041666666666665E-3</v>
      </c>
      <c r="F11" s="54"/>
      <c r="G11" s="87" t="s">
        <v>86</v>
      </c>
      <c r="H11" s="234">
        <f>H6/H42</f>
        <v>0.56948248852275152</v>
      </c>
      <c r="I11" s="86" t="s">
        <v>105</v>
      </c>
      <c r="J11" s="87" t="s">
        <v>86</v>
      </c>
      <c r="K11" s="234">
        <f>K6/K42</f>
        <v>1.1988086669840019</v>
      </c>
      <c r="L11" s="86" t="s">
        <v>105</v>
      </c>
      <c r="M11" s="54" t="s">
        <v>1</v>
      </c>
      <c r="N11" s="51">
        <f>0.693/N13</f>
        <v>1.6041666666666665E-3</v>
      </c>
      <c r="P11" s="95" t="s">
        <v>86</v>
      </c>
      <c r="Q11" s="231">
        <f>Q6/Q42</f>
        <v>0.56948248852275152</v>
      </c>
      <c r="R11" s="94" t="s">
        <v>105</v>
      </c>
      <c r="S11" s="95" t="s">
        <v>86</v>
      </c>
      <c r="T11" s="231">
        <f>T6/T42</f>
        <v>1.1988086669840023</v>
      </c>
      <c r="U11" s="94" t="s">
        <v>105</v>
      </c>
      <c r="V11" s="54" t="s">
        <v>1</v>
      </c>
      <c r="W11" s="51">
        <f>0.693/W13</f>
        <v>1.6041666666666665E-3</v>
      </c>
      <c r="X11" s="54"/>
      <c r="Y11" s="79" t="s">
        <v>86</v>
      </c>
      <c r="Z11" s="225">
        <f>Z6/Z42</f>
        <v>0.56948248852275152</v>
      </c>
      <c r="AA11" s="78" t="s">
        <v>105</v>
      </c>
      <c r="AB11" s="79" t="s">
        <v>86</v>
      </c>
      <c r="AC11" s="225">
        <f>AC6/AC42</f>
        <v>1.1988086669840023</v>
      </c>
      <c r="AD11" s="78" t="s">
        <v>105</v>
      </c>
      <c r="AE11" s="54" t="s">
        <v>1</v>
      </c>
      <c r="AF11" s="51">
        <f>0.693/AF13</f>
        <v>1.6041666666666665E-3</v>
      </c>
      <c r="AG11" s="54"/>
      <c r="AH11" s="178" t="s">
        <v>86</v>
      </c>
      <c r="AI11" s="228">
        <f>AI6/AI42</f>
        <v>3.79654992348501</v>
      </c>
      <c r="AJ11" s="177" t="s">
        <v>105</v>
      </c>
      <c r="AK11" s="178" t="s">
        <v>86</v>
      </c>
      <c r="AL11" s="228">
        <f>AL6/AL42</f>
        <v>7.9920577798933472</v>
      </c>
      <c r="AM11" s="177" t="s">
        <v>105</v>
      </c>
    </row>
    <row r="12" spans="1:39" x14ac:dyDescent="0.2">
      <c r="A12" s="38" t="s">
        <v>114</v>
      </c>
      <c r="B12" s="151">
        <v>1.83064E-2</v>
      </c>
      <c r="C12" s="38" t="s">
        <v>198</v>
      </c>
      <c r="D12" s="28" t="s">
        <v>126</v>
      </c>
      <c r="E12" s="51">
        <f>(1-EXP(-E11*E9))</f>
        <v>1.6028806790575612E-3</v>
      </c>
      <c r="G12" s="84" t="s">
        <v>82</v>
      </c>
      <c r="H12" s="232">
        <f>H2*H21*H43*H44</f>
        <v>4.4868078477358329E-6</v>
      </c>
      <c r="I12" s="88" t="s">
        <v>107</v>
      </c>
      <c r="J12" s="84" t="s">
        <v>82</v>
      </c>
      <c r="K12" s="232">
        <f>K2*K21*K43*K44</f>
        <v>8.3003908039935722E-6</v>
      </c>
      <c r="L12" s="88" t="s">
        <v>107</v>
      </c>
      <c r="M12" s="28" t="s">
        <v>126</v>
      </c>
      <c r="N12" s="51">
        <f>(1-EXP(-N11*N9))</f>
        <v>1.6028806790575612E-3</v>
      </c>
      <c r="P12" s="91" t="s">
        <v>82</v>
      </c>
      <c r="Q12" s="229">
        <f>Q2*Q21*Q43*Q44</f>
        <v>4.4868078477358321E-6</v>
      </c>
      <c r="R12" s="97" t="s">
        <v>107</v>
      </c>
      <c r="S12" s="91" t="s">
        <v>82</v>
      </c>
      <c r="T12" s="229">
        <f>T2*T21*T43*T44</f>
        <v>8.3003908039935722E-6</v>
      </c>
      <c r="U12" s="97" t="s">
        <v>107</v>
      </c>
      <c r="V12" s="28" t="s">
        <v>126</v>
      </c>
      <c r="W12" s="51">
        <f>(1-EXP(-W11*W9))</f>
        <v>1.6028806790575612E-3</v>
      </c>
      <c r="Y12" s="75" t="s">
        <v>82</v>
      </c>
      <c r="Z12" s="223">
        <f>Z2*Z21*Z43*Z44</f>
        <v>4.4868078477358321E-6</v>
      </c>
      <c r="AA12" s="81" t="s">
        <v>107</v>
      </c>
      <c r="AB12" s="75" t="s">
        <v>82</v>
      </c>
      <c r="AC12" s="223">
        <f>AC2*AC21*AC43*AC44</f>
        <v>8.3003908039935722E-6</v>
      </c>
      <c r="AD12" s="81" t="s">
        <v>107</v>
      </c>
      <c r="AE12" s="28" t="s">
        <v>126</v>
      </c>
      <c r="AF12" s="51">
        <f>(1-EXP(-AF11*AF9))</f>
        <v>1.6028806790575612E-3</v>
      </c>
      <c r="AH12" s="175" t="s">
        <v>82</v>
      </c>
      <c r="AI12" s="226">
        <f>AI2*AI21*AI43*AI44</f>
        <v>2.9912052318238884E-5</v>
      </c>
      <c r="AJ12" s="180" t="s">
        <v>107</v>
      </c>
      <c r="AK12" s="175" t="s">
        <v>82</v>
      </c>
      <c r="AL12" s="226">
        <f>AL2*AL21*AL43*AL44</f>
        <v>5.5335938693290461E-5</v>
      </c>
      <c r="AM12" s="180" t="s">
        <v>107</v>
      </c>
    </row>
    <row r="13" spans="1:39" x14ac:dyDescent="0.2">
      <c r="A13" s="38" t="s">
        <v>115</v>
      </c>
      <c r="B13" s="151">
        <v>3.4557999999999998E-2</v>
      </c>
      <c r="C13" s="38" t="s">
        <v>198</v>
      </c>
      <c r="D13" s="33" t="s">
        <v>9</v>
      </c>
      <c r="E13" s="53">
        <f>B16</f>
        <v>432</v>
      </c>
      <c r="F13" s="54" t="s">
        <v>10</v>
      </c>
      <c r="G13" s="85" t="s">
        <v>83</v>
      </c>
      <c r="H13" s="233">
        <f>H3*H21*H43*H45</f>
        <v>6.5448005228907984E-9</v>
      </c>
      <c r="I13" s="86" t="s">
        <v>110</v>
      </c>
      <c r="J13" s="85" t="s">
        <v>83</v>
      </c>
      <c r="K13" s="233">
        <f>K3*K21*K43*K45</f>
        <v>1.1276174606162728E-8</v>
      </c>
      <c r="L13" s="86" t="s">
        <v>110</v>
      </c>
      <c r="M13" s="33" t="s">
        <v>9</v>
      </c>
      <c r="N13" s="53">
        <f>B16</f>
        <v>432</v>
      </c>
      <c r="P13" s="93" t="s">
        <v>83</v>
      </c>
      <c r="Q13" s="230">
        <f>Q3*Q21*Q43*Q45</f>
        <v>6.5448005228907984E-9</v>
      </c>
      <c r="R13" s="94" t="s">
        <v>110</v>
      </c>
      <c r="S13" s="93" t="s">
        <v>83</v>
      </c>
      <c r="T13" s="230">
        <f>T3*T21*T43*T45</f>
        <v>1.1276174606162728E-8</v>
      </c>
      <c r="U13" s="94" t="s">
        <v>110</v>
      </c>
      <c r="V13" s="33" t="s">
        <v>9</v>
      </c>
      <c r="W13" s="53">
        <f>B16</f>
        <v>432</v>
      </c>
      <c r="X13" s="54"/>
      <c r="Y13" s="77" t="s">
        <v>83</v>
      </c>
      <c r="Z13" s="224">
        <f>Z3*Z21*Z43*Z45</f>
        <v>6.5448005228907984E-9</v>
      </c>
      <c r="AA13" s="78" t="s">
        <v>110</v>
      </c>
      <c r="AB13" s="77" t="s">
        <v>83</v>
      </c>
      <c r="AC13" s="224">
        <f>AC3*AC21*AC43*AC45</f>
        <v>1.1276174606162728E-8</v>
      </c>
      <c r="AD13" s="78" t="s">
        <v>110</v>
      </c>
      <c r="AE13" s="33" t="s">
        <v>9</v>
      </c>
      <c r="AF13" s="53">
        <f>B16</f>
        <v>432</v>
      </c>
      <c r="AG13" s="54"/>
      <c r="AH13" s="176" t="s">
        <v>83</v>
      </c>
      <c r="AI13" s="227">
        <f>AI3*AI21*AI43*AI45</f>
        <v>4.3632003485938647E-8</v>
      </c>
      <c r="AJ13" s="177" t="s">
        <v>110</v>
      </c>
      <c r="AK13" s="176" t="s">
        <v>83</v>
      </c>
      <c r="AL13" s="227">
        <f>AL3*AL21*AL43*AL45</f>
        <v>7.5174497374418194E-8</v>
      </c>
      <c r="AM13" s="177" t="s">
        <v>110</v>
      </c>
    </row>
    <row r="14" spans="1:39" x14ac:dyDescent="0.2">
      <c r="A14" s="38" t="s">
        <v>116</v>
      </c>
      <c r="B14" s="151">
        <v>3.7173200000000003E-2</v>
      </c>
      <c r="C14" s="38" t="s">
        <v>198</v>
      </c>
      <c r="D14" s="38" t="s">
        <v>209</v>
      </c>
      <c r="E14" s="53">
        <f>B8</f>
        <v>8.8060000000000005E-4</v>
      </c>
      <c r="F14" s="54" t="s">
        <v>11</v>
      </c>
      <c r="G14" s="85" t="s">
        <v>84</v>
      </c>
      <c r="H14" s="233">
        <f>H4*H21*H43*H44</f>
        <v>9.1109669561166403E-6</v>
      </c>
      <c r="I14" s="89" t="s">
        <v>107</v>
      </c>
      <c r="J14" s="85" t="s">
        <v>84</v>
      </c>
      <c r="K14" s="233">
        <f>K4*K21*K43*K44</f>
        <v>1.7088940258022798E-5</v>
      </c>
      <c r="L14" s="89" t="s">
        <v>107</v>
      </c>
      <c r="M14" s="38" t="s">
        <v>210</v>
      </c>
      <c r="N14" s="53">
        <f>B9</f>
        <v>7.5480000000000002E-4</v>
      </c>
      <c r="O14" s="28" t="s">
        <v>11</v>
      </c>
      <c r="P14" s="93" t="s">
        <v>84</v>
      </c>
      <c r="Q14" s="230">
        <f>Q4*Q21*Q43*Q44</f>
        <v>9.1109669561166403E-6</v>
      </c>
      <c r="R14" s="98" t="s">
        <v>107</v>
      </c>
      <c r="S14" s="93" t="s">
        <v>84</v>
      </c>
      <c r="T14" s="230">
        <f>T4*T21*T43*T44</f>
        <v>1.7088940258022795E-5</v>
      </c>
      <c r="U14" s="98" t="s">
        <v>107</v>
      </c>
      <c r="V14" s="38" t="s">
        <v>210</v>
      </c>
      <c r="W14" s="53">
        <f>B9</f>
        <v>7.5480000000000002E-4</v>
      </c>
      <c r="X14" s="54" t="s">
        <v>11</v>
      </c>
      <c r="Y14" s="77" t="s">
        <v>84</v>
      </c>
      <c r="Z14" s="224">
        <f>Z4*Z21*Z43*Z44</f>
        <v>9.1109669561166403E-6</v>
      </c>
      <c r="AA14" s="82" t="s">
        <v>107</v>
      </c>
      <c r="AB14" s="77" t="s">
        <v>84</v>
      </c>
      <c r="AC14" s="224">
        <f>AC4*AC21*AC43*AC44</f>
        <v>1.7088940258022795E-5</v>
      </c>
      <c r="AD14" s="82" t="s">
        <v>107</v>
      </c>
      <c r="AE14" s="38" t="s">
        <v>210</v>
      </c>
      <c r="AF14" s="53">
        <f>B9</f>
        <v>7.5480000000000002E-4</v>
      </c>
      <c r="AG14" s="54" t="s">
        <v>11</v>
      </c>
      <c r="AH14" s="176" t="s">
        <v>84</v>
      </c>
      <c r="AI14" s="227">
        <f>AI4*AI21*AI43*AI44</f>
        <v>6.0739779707444262E-5</v>
      </c>
      <c r="AJ14" s="181" t="s">
        <v>107</v>
      </c>
      <c r="AK14" s="176" t="s">
        <v>84</v>
      </c>
      <c r="AL14" s="227">
        <f>AL4*AL21*AL43*AL44</f>
        <v>1.1392626838681866E-4</v>
      </c>
      <c r="AM14" s="181" t="s">
        <v>107</v>
      </c>
    </row>
    <row r="15" spans="1:39" x14ac:dyDescent="0.2">
      <c r="A15" s="38" t="s">
        <v>117</v>
      </c>
      <c r="B15" s="151">
        <v>125.5296</v>
      </c>
      <c r="C15" s="38" t="s">
        <v>200</v>
      </c>
      <c r="D15" s="54" t="s">
        <v>22</v>
      </c>
      <c r="E15" s="53">
        <f>B7</f>
        <v>0.36297000000000001</v>
      </c>
      <c r="F15" s="54" t="s">
        <v>201</v>
      </c>
      <c r="G15" s="85" t="s">
        <v>85</v>
      </c>
      <c r="H15" s="233">
        <f>H5*H21*H43*H44</f>
        <v>4.8263500632401659E-6</v>
      </c>
      <c r="I15" s="89" t="s">
        <v>107</v>
      </c>
      <c r="J15" s="85" t="s">
        <v>85</v>
      </c>
      <c r="K15" s="233">
        <f>K5*K21*K43*K44</f>
        <v>9.4499596731245019E-6</v>
      </c>
      <c r="L15" s="89" t="s">
        <v>107</v>
      </c>
      <c r="M15" s="54" t="s">
        <v>22</v>
      </c>
      <c r="N15" s="53">
        <f>B7</f>
        <v>0.36297000000000001</v>
      </c>
      <c r="O15" s="28" t="s">
        <v>201</v>
      </c>
      <c r="P15" s="93" t="s">
        <v>85</v>
      </c>
      <c r="Q15" s="230">
        <f>Q5*Q21*Q43*Q44</f>
        <v>4.8263500632401676E-6</v>
      </c>
      <c r="R15" s="98" t="s">
        <v>107</v>
      </c>
      <c r="S15" s="93" t="s">
        <v>85</v>
      </c>
      <c r="T15" s="230">
        <f>T5*T21*T43*T44</f>
        <v>9.4499596731245002E-6</v>
      </c>
      <c r="U15" s="98" t="s">
        <v>107</v>
      </c>
      <c r="V15" s="54" t="s">
        <v>22</v>
      </c>
      <c r="W15" s="53">
        <f>B7</f>
        <v>0.36297000000000001</v>
      </c>
      <c r="X15" s="54" t="s">
        <v>201</v>
      </c>
      <c r="Y15" s="77" t="s">
        <v>85</v>
      </c>
      <c r="Z15" s="224">
        <f>Z5*Z21*Z43*Z44</f>
        <v>4.8263500632401676E-6</v>
      </c>
      <c r="AA15" s="82" t="s">
        <v>107</v>
      </c>
      <c r="AB15" s="77" t="s">
        <v>85</v>
      </c>
      <c r="AC15" s="224">
        <f>AC5*AC21*AC43*AC44</f>
        <v>9.4499596731245002E-6</v>
      </c>
      <c r="AD15" s="82" t="s">
        <v>107</v>
      </c>
      <c r="AE15" s="54" t="s">
        <v>22</v>
      </c>
      <c r="AF15" s="53">
        <f>B7</f>
        <v>0.36297000000000001</v>
      </c>
      <c r="AG15" s="54" t="s">
        <v>201</v>
      </c>
      <c r="AH15" s="176" t="s">
        <v>85</v>
      </c>
      <c r="AI15" s="227">
        <f>AI5*AI21*AI43*AI44</f>
        <v>3.2175667088267779E-5</v>
      </c>
      <c r="AJ15" s="181" t="s">
        <v>107</v>
      </c>
      <c r="AK15" s="176" t="s">
        <v>85</v>
      </c>
      <c r="AL15" s="227">
        <f>AL5*AL21*AL43*AL44</f>
        <v>6.2999731154163334E-5</v>
      </c>
      <c r="AM15" s="181" t="s">
        <v>107</v>
      </c>
    </row>
    <row r="16" spans="1:39" ht="15" thickBot="1" x14ac:dyDescent="0.25">
      <c r="A16" s="41" t="s">
        <v>9</v>
      </c>
      <c r="B16" s="187">
        <v>432</v>
      </c>
      <c r="C16" s="39" t="s">
        <v>118</v>
      </c>
      <c r="D16" s="54" t="s">
        <v>23</v>
      </c>
      <c r="E16" s="53">
        <f>B11</f>
        <v>2.5484199999999999E-2</v>
      </c>
      <c r="F16" s="54" t="s">
        <v>198</v>
      </c>
      <c r="G16" s="87" t="s">
        <v>86</v>
      </c>
      <c r="H16" s="234">
        <f>H6*H21*H43*H44</f>
        <v>4.4868078477358329E-6</v>
      </c>
      <c r="I16" s="90" t="s">
        <v>107</v>
      </c>
      <c r="J16" s="87" t="s">
        <v>86</v>
      </c>
      <c r="K16" s="234">
        <f>K6*K21*K43*K44</f>
        <v>9.4451089249650595E-6</v>
      </c>
      <c r="L16" s="90" t="s">
        <v>107</v>
      </c>
      <c r="M16" s="54" t="s">
        <v>23</v>
      </c>
      <c r="N16" s="53">
        <f>B11</f>
        <v>2.5484199999999999E-2</v>
      </c>
      <c r="O16" s="28" t="s">
        <v>201</v>
      </c>
      <c r="P16" s="95" t="s">
        <v>86</v>
      </c>
      <c r="Q16" s="231">
        <f>Q6*Q21*Q43*Q44</f>
        <v>4.4868078477358321E-6</v>
      </c>
      <c r="R16" s="99" t="s">
        <v>107</v>
      </c>
      <c r="S16" s="95" t="s">
        <v>86</v>
      </c>
      <c r="T16" s="231">
        <f>T6*T21*T43*T44</f>
        <v>9.4451089249650612E-6</v>
      </c>
      <c r="U16" s="99" t="s">
        <v>107</v>
      </c>
      <c r="V16" s="54" t="s">
        <v>23</v>
      </c>
      <c r="W16" s="53">
        <f>B11</f>
        <v>2.5484199999999999E-2</v>
      </c>
      <c r="X16" s="54" t="s">
        <v>201</v>
      </c>
      <c r="Y16" s="79" t="s">
        <v>86</v>
      </c>
      <c r="Z16" s="225">
        <f>Z6*Z21*Z43*Z44</f>
        <v>4.4868078477358321E-6</v>
      </c>
      <c r="AA16" s="83" t="s">
        <v>107</v>
      </c>
      <c r="AB16" s="79" t="s">
        <v>86</v>
      </c>
      <c r="AC16" s="225">
        <f>AC6*AC21*AC43*AC44</f>
        <v>9.4451089249650612E-6</v>
      </c>
      <c r="AD16" s="83" t="s">
        <v>107</v>
      </c>
      <c r="AE16" s="54" t="s">
        <v>23</v>
      </c>
      <c r="AF16" s="53">
        <f>B11</f>
        <v>2.5484199999999999E-2</v>
      </c>
      <c r="AG16" s="54" t="s">
        <v>201</v>
      </c>
      <c r="AH16" s="178" t="s">
        <v>86</v>
      </c>
      <c r="AI16" s="228">
        <f>AI6*AI21*AI43*AI44</f>
        <v>2.9912052318238884E-5</v>
      </c>
      <c r="AJ16" s="182" t="s">
        <v>107</v>
      </c>
      <c r="AK16" s="178" t="s">
        <v>86</v>
      </c>
      <c r="AL16" s="228">
        <f>AL6*AL21*AL43*AL44</f>
        <v>6.2967392833100395E-5</v>
      </c>
      <c r="AM16" s="182" t="s">
        <v>107</v>
      </c>
    </row>
    <row r="17" spans="1:39" x14ac:dyDescent="0.2">
      <c r="A17" s="38" t="s">
        <v>141</v>
      </c>
      <c r="B17" s="328">
        <v>0.75299145299145298</v>
      </c>
      <c r="C17" s="40"/>
      <c r="D17" s="28" t="s">
        <v>92</v>
      </c>
      <c r="E17" s="47">
        <f>(E8*E9*E11)/(((1-EXP(-E10*E9))/(E10*E9))*E12*E14*E22)</f>
        <v>1.4817475433582172E-2</v>
      </c>
      <c r="F17" s="28" t="s">
        <v>94</v>
      </c>
      <c r="G17" t="s">
        <v>21</v>
      </c>
      <c r="H17" s="220">
        <f>B6</f>
        <v>1</v>
      </c>
      <c r="J17" t="s">
        <v>21</v>
      </c>
      <c r="K17" s="220">
        <f>B6</f>
        <v>1</v>
      </c>
      <c r="M17" s="28" t="s">
        <v>92</v>
      </c>
      <c r="N17" s="47">
        <f>(N8*N9*N11)/(((1-EXP(-N10*N9))/(N10*N9))*N12*N14*N22*N28)</f>
        <v>3.7465762126608987E-2</v>
      </c>
      <c r="O17" s="28" t="s">
        <v>94</v>
      </c>
      <c r="P17" t="s">
        <v>21</v>
      </c>
      <c r="Q17" s="220">
        <f>B6</f>
        <v>1</v>
      </c>
      <c r="S17" t="s">
        <v>21</v>
      </c>
      <c r="T17" s="220">
        <f>B6</f>
        <v>1</v>
      </c>
      <c r="V17" s="28" t="s">
        <v>92</v>
      </c>
      <c r="W17" s="47">
        <f>(W8*W9*W11)/(((1-EXP(-W10*W9))/(W10*W9))*W12*W14*W22*W28)</f>
        <v>3.7465762126608987E-2</v>
      </c>
      <c r="X17" s="28" t="s">
        <v>94</v>
      </c>
      <c r="Y17" t="s">
        <v>21</v>
      </c>
      <c r="Z17" s="220">
        <f>B6</f>
        <v>1</v>
      </c>
      <c r="AB17" t="s">
        <v>21</v>
      </c>
      <c r="AC17" s="220">
        <f>B6</f>
        <v>1</v>
      </c>
      <c r="AE17" s="28" t="s">
        <v>92</v>
      </c>
      <c r="AF17" s="47">
        <f>(AF8*AF9*AF11)/(((1-EXP(-AF10*AF9))/(AF10*AF9))*AF12*AF14*AF22*AF28)</f>
        <v>3.7465762126608987E-2</v>
      </c>
      <c r="AG17" s="28" t="s">
        <v>94</v>
      </c>
      <c r="AH17" t="s">
        <v>21</v>
      </c>
      <c r="AI17" s="220">
        <f>B6</f>
        <v>1</v>
      </c>
      <c r="AK17" t="s">
        <v>21</v>
      </c>
      <c r="AL17" s="220">
        <f>B6</f>
        <v>1</v>
      </c>
    </row>
    <row r="18" spans="1:39" ht="19.5" x14ac:dyDescent="0.35">
      <c r="A18" s="38" t="s">
        <v>142</v>
      </c>
      <c r="B18" s="328">
        <v>0.80851063829787195</v>
      </c>
      <c r="C18" s="40"/>
      <c r="D18" s="28" t="s">
        <v>166</v>
      </c>
      <c r="E18" s="46">
        <f>(E8*E9*E11)/(((1-EXP(-E10*E9))/(E10*E9))*E12*E15*E23*(1/E48)*E47*(E41+E42)*(1/24))</f>
        <v>4.1238493419577701E-4</v>
      </c>
      <c r="F18" s="28" t="s">
        <v>94</v>
      </c>
      <c r="G18" s="54" t="s">
        <v>206</v>
      </c>
      <c r="H18" s="221">
        <f>H28</f>
        <v>1</v>
      </c>
      <c r="I18" t="s">
        <v>205</v>
      </c>
      <c r="J18" s="54" t="s">
        <v>206</v>
      </c>
      <c r="K18" s="221">
        <f>K28</f>
        <v>1</v>
      </c>
      <c r="L18" t="s">
        <v>205</v>
      </c>
      <c r="M18" s="28" t="s">
        <v>166</v>
      </c>
      <c r="N18" s="46">
        <f>(N8*N9*N11)/(((1-EXP(-N10*N9))/(N10*N9))*N12*N15*N29*N25*N28*(1/N38)*N37)</f>
        <v>6.3763996356965986E-5</v>
      </c>
      <c r="O18" s="28" t="s">
        <v>94</v>
      </c>
      <c r="P18" s="54" t="s">
        <v>207</v>
      </c>
      <c r="Q18" s="221">
        <f>Q28</f>
        <v>1</v>
      </c>
      <c r="R18" t="s">
        <v>205</v>
      </c>
      <c r="S18" s="54" t="s">
        <v>207</v>
      </c>
      <c r="T18" s="221">
        <f>T28</f>
        <v>1</v>
      </c>
      <c r="U18" t="s">
        <v>205</v>
      </c>
      <c r="V18" s="28" t="s">
        <v>166</v>
      </c>
      <c r="W18" s="46">
        <f>(W8*W9*W11)/(((1-EXP(-W10*W9))/(W10*W9))*W12*W15*W29*W25*W28*(1/W38)*W37)</f>
        <v>6.3763996356965986E-5</v>
      </c>
      <c r="X18" s="28" t="s">
        <v>94</v>
      </c>
      <c r="Y18" s="54" t="s">
        <v>208</v>
      </c>
      <c r="Z18" s="221">
        <f>Z28</f>
        <v>1</v>
      </c>
      <c r="AA18" t="s">
        <v>205</v>
      </c>
      <c r="AB18" s="54" t="s">
        <v>208</v>
      </c>
      <c r="AC18" s="221">
        <f>AC28</f>
        <v>1</v>
      </c>
      <c r="AD18" t="s">
        <v>205</v>
      </c>
      <c r="AE18" s="28" t="s">
        <v>166</v>
      </c>
      <c r="AF18" s="46">
        <f>(AF8*AF9*AF11)/(((1-EXP(-AF10*AF9))/(AF10*AF9))*AF12*AF15*AF29*AF25*AF28*(1/AF38)*AF37)</f>
        <v>4.0301268428571409E-6</v>
      </c>
      <c r="AG18" s="28" t="s">
        <v>94</v>
      </c>
      <c r="AH18" s="54" t="s">
        <v>140</v>
      </c>
      <c r="AI18" s="221">
        <f>AI28</f>
        <v>1</v>
      </c>
      <c r="AJ18" t="s">
        <v>205</v>
      </c>
      <c r="AK18" s="54" t="s">
        <v>140</v>
      </c>
      <c r="AL18" s="221">
        <f>AL28</f>
        <v>1</v>
      </c>
      <c r="AM18" t="s">
        <v>205</v>
      </c>
    </row>
    <row r="19" spans="1:39" x14ac:dyDescent="0.2">
      <c r="A19" s="38" t="s">
        <v>143</v>
      </c>
      <c r="B19" s="328">
        <v>0.74267782426778195</v>
      </c>
      <c r="C19" s="40"/>
      <c r="D19" s="28" t="s">
        <v>165</v>
      </c>
      <c r="E19" s="46">
        <f>(E8*E9*E11)/(((1-EXP(-E10*E9))/(E10*E9))*E12*E15*E23*(1/E49)*E47*(E41+E42)*(1/24))</f>
        <v>1.5215246275077584E-2</v>
      </c>
      <c r="F19" s="28" t="s">
        <v>94</v>
      </c>
      <c r="G19" s="29" t="s">
        <v>1</v>
      </c>
      <c r="H19" s="51">
        <f>0.693/H21</f>
        <v>1.6041666666666665E-3</v>
      </c>
      <c r="I19" s="29"/>
      <c r="J19" s="29" t="s">
        <v>1</v>
      </c>
      <c r="K19" s="51">
        <f>0.693/K21</f>
        <v>1.6041666666666665E-3</v>
      </c>
      <c r="M19" s="28" t="s">
        <v>165</v>
      </c>
      <c r="N19" s="46">
        <f>(N8*N9*N11)/(((1-EXP(-N10*N9))/(N10*N9))*N12*N15*N29*N25*N28*(1/N39)*N37)</f>
        <v>4.9373474162626753E-3</v>
      </c>
      <c r="O19" s="28" t="s">
        <v>94</v>
      </c>
      <c r="P19" s="29" t="s">
        <v>1</v>
      </c>
      <c r="Q19" s="51">
        <f>0.693/Q21</f>
        <v>1.6041666666666665E-3</v>
      </c>
      <c r="R19" s="29"/>
      <c r="S19" s="29" t="s">
        <v>1</v>
      </c>
      <c r="T19" s="51">
        <f>0.693/T21</f>
        <v>1.6041666666666665E-3</v>
      </c>
      <c r="V19" s="28" t="s">
        <v>165</v>
      </c>
      <c r="W19" s="46">
        <f>(W8*W9*W11)/(((1-EXP(-W10*W9))/(W10*W9))*W12*W15*W29*W25*W28*(1/W39)*W37)</f>
        <v>4.9373474162626753E-3</v>
      </c>
      <c r="X19" s="28" t="s">
        <v>94</v>
      </c>
      <c r="Y19" s="29" t="s">
        <v>1</v>
      </c>
      <c r="Z19" s="51">
        <f>0.693/Z21</f>
        <v>1.6041666666666665E-3</v>
      </c>
      <c r="AB19" s="29" t="s">
        <v>1</v>
      </c>
      <c r="AC19" s="51">
        <f>0.693/AC21</f>
        <v>1.6041666666666665E-3</v>
      </c>
      <c r="AD19" s="29"/>
      <c r="AE19" s="28" t="s">
        <v>165</v>
      </c>
      <c r="AF19" s="46">
        <f>(AF8*AF9*AF11)/(((1-EXP(-AF10*AF9))/(AF10*AF9))*AF12*AF15*AF29*AF25*AF28*(1/AF39)*AF37)</f>
        <v>4.9373474162626753E-3</v>
      </c>
      <c r="AG19" s="28" t="s">
        <v>94</v>
      </c>
      <c r="AH19" s="29" t="s">
        <v>1</v>
      </c>
      <c r="AI19" s="51">
        <f>0.693/AI21</f>
        <v>1.6041666666666665E-3</v>
      </c>
      <c r="AJ19" s="29"/>
      <c r="AK19" s="29" t="s">
        <v>1</v>
      </c>
      <c r="AL19" s="51">
        <f>0.693/AL21</f>
        <v>1.6041666666666665E-3</v>
      </c>
    </row>
    <row r="20" spans="1:39" x14ac:dyDescent="0.2">
      <c r="A20" s="38" t="s">
        <v>144</v>
      </c>
      <c r="B20" s="328">
        <v>0.71144278606965194</v>
      </c>
      <c r="D20" s="28" t="s">
        <v>93</v>
      </c>
      <c r="E20" s="45">
        <f>(E8*E9*E11)/(((1-EXP(-E10*E9))/(E10*E9))*E12*E16*E39*E40*E28*(1/365)*E46*((E41*E44)+(E42*E45))*(1/24))</f>
        <v>92.990600145446734</v>
      </c>
      <c r="F20" s="28" t="s">
        <v>94</v>
      </c>
      <c r="G20" s="28" t="s">
        <v>126</v>
      </c>
      <c r="H20" s="51">
        <f>(1-EXP(-H19*H18))</f>
        <v>1.6028806790575612E-3</v>
      </c>
      <c r="J20" s="28" t="s">
        <v>126</v>
      </c>
      <c r="K20" s="51">
        <f>(1-EXP(-K19*K18))</f>
        <v>1.6028806790575612E-3</v>
      </c>
      <c r="M20" s="28" t="s">
        <v>93</v>
      </c>
      <c r="N20" s="45">
        <f>(N8*N9*N11)/(((1-EXP(-N10*N9))/(N10*N9))*N12*N16*N31*N32*N36*N28*(1/365)*N34*N25*(1/24))</f>
        <v>92.99060014544672</v>
      </c>
      <c r="O20" s="28" t="s">
        <v>94</v>
      </c>
      <c r="P20" s="28" t="s">
        <v>126</v>
      </c>
      <c r="Q20" s="51">
        <f>(1-EXP(-Q19*Q18))</f>
        <v>1.6028806790575612E-3</v>
      </c>
      <c r="S20" s="28" t="s">
        <v>126</v>
      </c>
      <c r="T20" s="51">
        <f>(1-EXP(-T19*T18))</f>
        <v>1.6028806790575612E-3</v>
      </c>
      <c r="V20" s="28" t="s">
        <v>93</v>
      </c>
      <c r="W20" s="45">
        <f>(W8*W9*W11)/(((1-EXP(-W10*W9))/(W10*W9))*W12*W16*W31*W32*W36*W28*(1/365)*W34*W25*(1/24))</f>
        <v>92.99060014544672</v>
      </c>
      <c r="X20" s="28" t="s">
        <v>94</v>
      </c>
      <c r="Y20" s="28" t="s">
        <v>126</v>
      </c>
      <c r="Z20" s="51">
        <f>(1-EXP(-Z19*Z18))</f>
        <v>1.6028806790575612E-3</v>
      </c>
      <c r="AB20" s="28" t="s">
        <v>126</v>
      </c>
      <c r="AC20" s="51">
        <f>(1-EXP(-AC19*AC18))</f>
        <v>1.6028806790575612E-3</v>
      </c>
      <c r="AE20" s="28" t="s">
        <v>93</v>
      </c>
      <c r="AF20" s="45">
        <f>(AF8*AF9*AF11)/(((1-EXP(-AF10*AF9))/(AF10*AF9))*AF12*AF16*AF35*AF31*AF32*AF36*AF25*(1/24)*AF28*(1/365))</f>
        <v>619.93733430297823</v>
      </c>
      <c r="AG20" s="28" t="s">
        <v>94</v>
      </c>
      <c r="AH20" s="28" t="s">
        <v>126</v>
      </c>
      <c r="AI20" s="51">
        <f>(1-EXP(-AI19*AI18))</f>
        <v>1.6028806790575612E-3</v>
      </c>
      <c r="AK20" s="28" t="s">
        <v>126</v>
      </c>
      <c r="AL20" s="51">
        <f>(1-EXP(-AL19*AL18))</f>
        <v>1.6028806790575612E-3</v>
      </c>
    </row>
    <row r="21" spans="1:39" x14ac:dyDescent="0.2">
      <c r="A21" s="38" t="s">
        <v>145</v>
      </c>
      <c r="B21" s="328">
        <v>0.66173120728929402</v>
      </c>
      <c r="G21" s="56" t="s">
        <v>9</v>
      </c>
      <c r="H21" s="53">
        <f>B16</f>
        <v>432</v>
      </c>
      <c r="I21" s="2" t="s">
        <v>10</v>
      </c>
      <c r="J21" s="56" t="s">
        <v>9</v>
      </c>
      <c r="K21" s="43">
        <f>B16</f>
        <v>432</v>
      </c>
      <c r="L21" s="1" t="s">
        <v>10</v>
      </c>
      <c r="P21" s="56" t="s">
        <v>9</v>
      </c>
      <c r="Q21" s="53">
        <f>B16</f>
        <v>432</v>
      </c>
      <c r="R21" s="2" t="s">
        <v>10</v>
      </c>
      <c r="S21" s="56" t="s">
        <v>9</v>
      </c>
      <c r="T21" s="43">
        <f>B16</f>
        <v>432</v>
      </c>
      <c r="U21" s="1" t="s">
        <v>10</v>
      </c>
      <c r="Y21" s="56" t="s">
        <v>9</v>
      </c>
      <c r="Z21" s="43">
        <f>B16</f>
        <v>432</v>
      </c>
      <c r="AA21" s="1" t="s">
        <v>10</v>
      </c>
      <c r="AB21" s="56" t="s">
        <v>9</v>
      </c>
      <c r="AC21" s="53">
        <f>B16</f>
        <v>432</v>
      </c>
      <c r="AD21" s="2" t="s">
        <v>10</v>
      </c>
      <c r="AH21" s="56" t="s">
        <v>9</v>
      </c>
      <c r="AI21" s="53">
        <f>B16</f>
        <v>432</v>
      </c>
      <c r="AJ21" s="2" t="s">
        <v>10</v>
      </c>
      <c r="AK21" s="56" t="s">
        <v>9</v>
      </c>
      <c r="AL21" s="43">
        <f>B16</f>
        <v>432</v>
      </c>
      <c r="AM21" s="1" t="s">
        <v>10</v>
      </c>
    </row>
    <row r="22" spans="1:39" x14ac:dyDescent="0.2">
      <c r="A22" s="40" t="s">
        <v>102</v>
      </c>
      <c r="B22" s="150">
        <v>241</v>
      </c>
      <c r="C22" s="40" t="s">
        <v>103</v>
      </c>
      <c r="D22" s="60" t="s">
        <v>220</v>
      </c>
      <c r="E22" s="61">
        <f>(E24*E27*E29*E25*E31*E33*E35)+(E24*E26*E28*E25*E30*E32*E34)</f>
        <v>92193.75</v>
      </c>
      <c r="F22" s="62" t="s">
        <v>24</v>
      </c>
      <c r="G22" s="38" t="s">
        <v>113</v>
      </c>
      <c r="H22" s="220">
        <f>B10</f>
        <v>3.7173200000000003E-2</v>
      </c>
      <c r="I22" s="38" t="s">
        <v>198</v>
      </c>
      <c r="J22" s="38" t="s">
        <v>113</v>
      </c>
      <c r="K22" s="220">
        <f>B10</f>
        <v>3.7173200000000003E-2</v>
      </c>
      <c r="L22" s="38" t="s">
        <v>198</v>
      </c>
      <c r="M22" s="60" t="s">
        <v>217</v>
      </c>
      <c r="N22" s="71">
        <f>N23*N25*N24*N26*N27</f>
        <v>773.4375</v>
      </c>
      <c r="O22" s="62" t="s">
        <v>24</v>
      </c>
      <c r="P22" s="38" t="s">
        <v>113</v>
      </c>
      <c r="Q22" s="220">
        <f>B10</f>
        <v>3.7173200000000003E-2</v>
      </c>
      <c r="R22" s="38" t="s">
        <v>198</v>
      </c>
      <c r="S22" s="38" t="s">
        <v>113</v>
      </c>
      <c r="T22" s="220">
        <f>B10</f>
        <v>3.7173200000000003E-2</v>
      </c>
      <c r="U22" s="38" t="s">
        <v>198</v>
      </c>
      <c r="V22" s="60" t="s">
        <v>218</v>
      </c>
      <c r="W22" s="71">
        <f>W23*W25*W24*W26*W27</f>
        <v>773.4375</v>
      </c>
      <c r="X22" s="62" t="s">
        <v>24</v>
      </c>
      <c r="Y22" s="38" t="s">
        <v>113</v>
      </c>
      <c r="Z22" s="220">
        <f>B10</f>
        <v>3.7173200000000003E-2</v>
      </c>
      <c r="AA22" s="38" t="s">
        <v>198</v>
      </c>
      <c r="AB22" s="38" t="s">
        <v>113</v>
      </c>
      <c r="AC22" s="220">
        <f>B10</f>
        <v>3.7173200000000003E-2</v>
      </c>
      <c r="AD22" s="38" t="s">
        <v>198</v>
      </c>
      <c r="AE22" s="60" t="s">
        <v>219</v>
      </c>
      <c r="AF22" s="71">
        <f>AF23*AF25*AF24*AF26*AF27</f>
        <v>773.4375</v>
      </c>
      <c r="AG22" s="62" t="s">
        <v>24</v>
      </c>
      <c r="AH22" s="38" t="s">
        <v>113</v>
      </c>
      <c r="AI22" s="220">
        <f>B10</f>
        <v>3.7173200000000003E-2</v>
      </c>
      <c r="AJ22" s="38" t="s">
        <v>198</v>
      </c>
      <c r="AK22" s="38" t="s">
        <v>113</v>
      </c>
      <c r="AL22" s="220">
        <f>B10</f>
        <v>3.7173200000000003E-2</v>
      </c>
      <c r="AM22" s="38" t="s">
        <v>198</v>
      </c>
    </row>
    <row r="23" spans="1:39" x14ac:dyDescent="0.2">
      <c r="A23" t="s">
        <v>90</v>
      </c>
      <c r="B23" s="188">
        <v>1.393</v>
      </c>
      <c r="D23" s="63" t="s">
        <v>221</v>
      </c>
      <c r="E23" s="64">
        <f>(E37*E29*E31)+(E36*E28*E30)</f>
        <v>486.75</v>
      </c>
      <c r="F23" s="65" t="s">
        <v>25</v>
      </c>
      <c r="G23" s="38" t="s">
        <v>23</v>
      </c>
      <c r="H23" s="220">
        <f>B11</f>
        <v>2.5484199999999999E-2</v>
      </c>
      <c r="I23" s="38" t="s">
        <v>199</v>
      </c>
      <c r="J23" s="38" t="s">
        <v>23</v>
      </c>
      <c r="K23" s="220">
        <f>B11</f>
        <v>2.5484199999999999E-2</v>
      </c>
      <c r="L23" s="38" t="s">
        <v>199</v>
      </c>
      <c r="M23" s="63" t="s">
        <v>162</v>
      </c>
      <c r="N23" s="66">
        <f>B27</f>
        <v>0.75</v>
      </c>
      <c r="O23" s="65"/>
      <c r="P23" s="38" t="s">
        <v>23</v>
      </c>
      <c r="Q23" s="220">
        <f>B11</f>
        <v>2.5484199999999999E-2</v>
      </c>
      <c r="R23" s="38" t="s">
        <v>199</v>
      </c>
      <c r="S23" s="38" t="s">
        <v>23</v>
      </c>
      <c r="T23" s="220">
        <f>B11</f>
        <v>2.5484199999999999E-2</v>
      </c>
      <c r="U23" s="38" t="s">
        <v>199</v>
      </c>
      <c r="V23" s="63" t="s">
        <v>162</v>
      </c>
      <c r="W23" s="66">
        <f>B27</f>
        <v>0.75</v>
      </c>
      <c r="X23" s="65"/>
      <c r="Y23" s="38" t="s">
        <v>23</v>
      </c>
      <c r="Z23" s="220">
        <f>B11</f>
        <v>2.5484199999999999E-2</v>
      </c>
      <c r="AA23" s="38" t="s">
        <v>199</v>
      </c>
      <c r="AB23" s="38" t="s">
        <v>23</v>
      </c>
      <c r="AC23" s="220">
        <f>B11</f>
        <v>2.5484199999999999E-2</v>
      </c>
      <c r="AD23" s="38" t="s">
        <v>199</v>
      </c>
      <c r="AE23" s="63" t="s">
        <v>162</v>
      </c>
      <c r="AF23" s="66">
        <f>B27</f>
        <v>0.75</v>
      </c>
      <c r="AG23" s="65"/>
      <c r="AH23" s="38" t="s">
        <v>23</v>
      </c>
      <c r="AI23" s="220">
        <f>B11</f>
        <v>2.5484199999999999E-2</v>
      </c>
      <c r="AJ23" s="38" t="s">
        <v>199</v>
      </c>
      <c r="AK23" s="38" t="s">
        <v>23</v>
      </c>
      <c r="AL23" s="220">
        <f>B11</f>
        <v>2.5484199999999999E-2</v>
      </c>
      <c r="AM23" s="38" t="s">
        <v>199</v>
      </c>
    </row>
    <row r="24" spans="1:39" x14ac:dyDescent="0.2">
      <c r="A24" s="28" t="s">
        <v>139</v>
      </c>
      <c r="B24" s="55">
        <v>2</v>
      </c>
      <c r="D24" s="63" t="s">
        <v>162</v>
      </c>
      <c r="E24" s="66">
        <f>B27</f>
        <v>0.75</v>
      </c>
      <c r="F24" s="65"/>
      <c r="G24" s="38" t="s">
        <v>114</v>
      </c>
      <c r="H24" s="220">
        <f>B12</f>
        <v>1.83064E-2</v>
      </c>
      <c r="I24" s="38" t="s">
        <v>198</v>
      </c>
      <c r="J24" s="38" t="s">
        <v>114</v>
      </c>
      <c r="K24" s="220">
        <f>B12</f>
        <v>1.83064E-2</v>
      </c>
      <c r="L24" s="38" t="s">
        <v>198</v>
      </c>
      <c r="M24" s="63" t="s">
        <v>119</v>
      </c>
      <c r="N24" s="66">
        <f>B28</f>
        <v>0.75</v>
      </c>
      <c r="O24" s="65"/>
      <c r="P24" s="38" t="s">
        <v>114</v>
      </c>
      <c r="Q24" s="220">
        <f>B12</f>
        <v>1.83064E-2</v>
      </c>
      <c r="R24" s="38" t="s">
        <v>198</v>
      </c>
      <c r="S24" s="38" t="s">
        <v>114</v>
      </c>
      <c r="T24" s="220">
        <f>B12</f>
        <v>1.83064E-2</v>
      </c>
      <c r="U24" s="38" t="s">
        <v>198</v>
      </c>
      <c r="V24" s="63" t="s">
        <v>119</v>
      </c>
      <c r="W24" s="66">
        <f>B28</f>
        <v>0.75</v>
      </c>
      <c r="X24" s="65"/>
      <c r="Y24" s="38" t="s">
        <v>114</v>
      </c>
      <c r="Z24" s="220">
        <f>B12</f>
        <v>1.83064E-2</v>
      </c>
      <c r="AA24" s="38" t="s">
        <v>198</v>
      </c>
      <c r="AB24" s="38" t="s">
        <v>114</v>
      </c>
      <c r="AC24" s="220">
        <f>B12</f>
        <v>1.83064E-2</v>
      </c>
      <c r="AD24" s="38" t="s">
        <v>198</v>
      </c>
      <c r="AE24" s="63" t="s">
        <v>119</v>
      </c>
      <c r="AF24" s="66">
        <f>B28</f>
        <v>0.75</v>
      </c>
      <c r="AG24" s="65"/>
      <c r="AH24" s="38" t="s">
        <v>114</v>
      </c>
      <c r="AI24" s="220">
        <f>B12</f>
        <v>1.83064E-2</v>
      </c>
      <c r="AJ24" s="38" t="s">
        <v>198</v>
      </c>
      <c r="AK24" s="38" t="s">
        <v>114</v>
      </c>
      <c r="AL24" s="220">
        <f>B12</f>
        <v>1.83064E-2</v>
      </c>
      <c r="AM24" s="38" t="s">
        <v>198</v>
      </c>
    </row>
    <row r="25" spans="1:39" x14ac:dyDescent="0.2">
      <c r="A25" s="28" t="s">
        <v>3</v>
      </c>
      <c r="B25" s="55">
        <v>2</v>
      </c>
      <c r="C25" s="37"/>
      <c r="D25" s="63" t="s">
        <v>119</v>
      </c>
      <c r="E25" s="66">
        <f>B28</f>
        <v>0.75</v>
      </c>
      <c r="F25" s="65"/>
      <c r="G25" s="38" t="s">
        <v>115</v>
      </c>
      <c r="H25" s="220">
        <f>B13</f>
        <v>3.4557999999999998E-2</v>
      </c>
      <c r="I25" s="38" t="s">
        <v>198</v>
      </c>
      <c r="J25" s="38" t="s">
        <v>115</v>
      </c>
      <c r="K25" s="220">
        <f>B13</f>
        <v>3.4557999999999998E-2</v>
      </c>
      <c r="L25" s="38" t="s">
        <v>198</v>
      </c>
      <c r="M25" s="63" t="s">
        <v>122</v>
      </c>
      <c r="N25" s="66">
        <f>B58</f>
        <v>5</v>
      </c>
      <c r="O25" s="65" t="s">
        <v>203</v>
      </c>
      <c r="P25" s="38" t="s">
        <v>115</v>
      </c>
      <c r="Q25" s="220">
        <f>B13</f>
        <v>3.4557999999999998E-2</v>
      </c>
      <c r="R25" s="38" t="s">
        <v>198</v>
      </c>
      <c r="S25" s="38" t="s">
        <v>115</v>
      </c>
      <c r="T25" s="220">
        <f>B13</f>
        <v>3.4557999999999998E-2</v>
      </c>
      <c r="U25" s="38" t="s">
        <v>198</v>
      </c>
      <c r="V25" s="63" t="s">
        <v>132</v>
      </c>
      <c r="W25" s="66">
        <f>B67</f>
        <v>5</v>
      </c>
      <c r="X25" s="65" t="s">
        <v>203</v>
      </c>
      <c r="Y25" s="38" t="s">
        <v>115</v>
      </c>
      <c r="Z25" s="220">
        <f>B13</f>
        <v>3.4557999999999998E-2</v>
      </c>
      <c r="AA25" s="38" t="s">
        <v>198</v>
      </c>
      <c r="AB25" s="38" t="s">
        <v>115</v>
      </c>
      <c r="AC25" s="220">
        <f>B13</f>
        <v>3.4557999999999998E-2</v>
      </c>
      <c r="AD25" s="38" t="s">
        <v>198</v>
      </c>
      <c r="AE25" s="63" t="s">
        <v>14</v>
      </c>
      <c r="AF25" s="66">
        <f>B76</f>
        <v>5</v>
      </c>
      <c r="AG25" s="65" t="s">
        <v>203</v>
      </c>
      <c r="AH25" s="38" t="s">
        <v>115</v>
      </c>
      <c r="AI25" s="220">
        <f>B13</f>
        <v>3.4557999999999998E-2</v>
      </c>
      <c r="AJ25" s="38" t="s">
        <v>198</v>
      </c>
      <c r="AK25" s="38" t="s">
        <v>115</v>
      </c>
      <c r="AL25" s="220">
        <f>B13</f>
        <v>3.4557999999999998E-2</v>
      </c>
      <c r="AM25" s="38" t="s">
        <v>198</v>
      </c>
    </row>
    <row r="26" spans="1:39" x14ac:dyDescent="0.2">
      <c r="A26" s="28" t="s">
        <v>27</v>
      </c>
      <c r="B26" s="55">
        <v>2</v>
      </c>
      <c r="C26" s="37"/>
      <c r="D26" s="67" t="s">
        <v>159</v>
      </c>
      <c r="E26" s="66">
        <f>B40</f>
        <v>10</v>
      </c>
      <c r="F26" s="65" t="s">
        <v>203</v>
      </c>
      <c r="G26" s="38" t="s">
        <v>116</v>
      </c>
      <c r="H26" s="220">
        <f>B14</f>
        <v>3.7173200000000003E-2</v>
      </c>
      <c r="I26" s="38" t="s">
        <v>198</v>
      </c>
      <c r="J26" s="38" t="s">
        <v>116</v>
      </c>
      <c r="K26" s="220">
        <f>B14</f>
        <v>3.7173200000000003E-2</v>
      </c>
      <c r="L26" s="38" t="s">
        <v>198</v>
      </c>
      <c r="M26" s="63" t="s">
        <v>136</v>
      </c>
      <c r="N26" s="66">
        <f>B62</f>
        <v>55</v>
      </c>
      <c r="O26" s="65" t="s">
        <v>24</v>
      </c>
      <c r="P26" s="38" t="s">
        <v>116</v>
      </c>
      <c r="Q26" s="220">
        <f>B14</f>
        <v>3.7173200000000003E-2</v>
      </c>
      <c r="R26" s="38" t="s">
        <v>198</v>
      </c>
      <c r="S26" s="38" t="s">
        <v>116</v>
      </c>
      <c r="T26" s="220">
        <f>B14</f>
        <v>3.7173200000000003E-2</v>
      </c>
      <c r="U26" s="38" t="s">
        <v>198</v>
      </c>
      <c r="V26" s="63" t="s">
        <v>130</v>
      </c>
      <c r="W26" s="66">
        <f>B71</f>
        <v>55</v>
      </c>
      <c r="X26" s="65" t="s">
        <v>24</v>
      </c>
      <c r="Y26" s="38" t="s">
        <v>116</v>
      </c>
      <c r="Z26" s="220">
        <f>B14</f>
        <v>3.7173200000000003E-2</v>
      </c>
      <c r="AA26" s="38" t="s">
        <v>198</v>
      </c>
      <c r="AB26" s="38" t="s">
        <v>116</v>
      </c>
      <c r="AC26" s="220">
        <f>B14</f>
        <v>3.7173200000000003E-2</v>
      </c>
      <c r="AD26" s="38" t="s">
        <v>198</v>
      </c>
      <c r="AE26" s="63" t="s">
        <v>17</v>
      </c>
      <c r="AF26" s="66">
        <f>B80</f>
        <v>55</v>
      </c>
      <c r="AG26" s="65" t="s">
        <v>24</v>
      </c>
      <c r="AH26" s="38" t="s">
        <v>116</v>
      </c>
      <c r="AI26" s="220">
        <f>B14</f>
        <v>3.7173200000000003E-2</v>
      </c>
      <c r="AJ26" s="38" t="s">
        <v>198</v>
      </c>
      <c r="AK26" s="38" t="s">
        <v>116</v>
      </c>
      <c r="AL26" s="220">
        <f>B14</f>
        <v>3.7173200000000003E-2</v>
      </c>
      <c r="AM26" s="38" t="s">
        <v>198</v>
      </c>
    </row>
    <row r="27" spans="1:39" x14ac:dyDescent="0.2">
      <c r="A27" s="28" t="s">
        <v>162</v>
      </c>
      <c r="B27" s="55">
        <v>0.75</v>
      </c>
      <c r="C27" s="37"/>
      <c r="D27" s="67" t="s">
        <v>158</v>
      </c>
      <c r="E27" s="66">
        <f>B39</f>
        <v>10</v>
      </c>
      <c r="F27" s="65" t="s">
        <v>203</v>
      </c>
      <c r="G27" s="40" t="s">
        <v>155</v>
      </c>
      <c r="H27" s="222">
        <f>B35</f>
        <v>55</v>
      </c>
      <c r="I27" s="29" t="s">
        <v>202</v>
      </c>
      <c r="J27" s="40" t="s">
        <v>155</v>
      </c>
      <c r="K27" s="221">
        <f>B35</f>
        <v>55</v>
      </c>
      <c r="L27" t="s">
        <v>202</v>
      </c>
      <c r="M27" s="68" t="s">
        <v>137</v>
      </c>
      <c r="N27" s="69">
        <f>B64</f>
        <v>5</v>
      </c>
      <c r="O27" s="70" t="s">
        <v>204</v>
      </c>
      <c r="P27" s="29" t="s">
        <v>87</v>
      </c>
      <c r="Q27" s="222">
        <f>B57</f>
        <v>55</v>
      </c>
      <c r="R27" s="29" t="s">
        <v>202</v>
      </c>
      <c r="S27" s="29" t="s">
        <v>87</v>
      </c>
      <c r="T27" s="221">
        <f>B57</f>
        <v>55</v>
      </c>
      <c r="U27" t="s">
        <v>202</v>
      </c>
      <c r="V27" s="68" t="s">
        <v>131</v>
      </c>
      <c r="W27" s="69">
        <f>B73</f>
        <v>5</v>
      </c>
      <c r="X27" s="70" t="s">
        <v>204</v>
      </c>
      <c r="Y27" s="29" t="s">
        <v>87</v>
      </c>
      <c r="Z27" s="32">
        <f>B66</f>
        <v>55</v>
      </c>
      <c r="AA27" t="s">
        <v>202</v>
      </c>
      <c r="AB27" s="29" t="s">
        <v>87</v>
      </c>
      <c r="AC27" s="222">
        <f>B66</f>
        <v>55</v>
      </c>
      <c r="AD27" s="29" t="s">
        <v>202</v>
      </c>
      <c r="AE27" s="68" t="s">
        <v>18</v>
      </c>
      <c r="AF27" s="69">
        <f>B82</f>
        <v>5</v>
      </c>
      <c r="AG27" s="70" t="s">
        <v>204</v>
      </c>
      <c r="AH27" s="29" t="s">
        <v>87</v>
      </c>
      <c r="AI27" s="222">
        <f>B75</f>
        <v>55</v>
      </c>
      <c r="AJ27" s="29" t="s">
        <v>202</v>
      </c>
      <c r="AK27" s="29" t="s">
        <v>87</v>
      </c>
      <c r="AL27" s="221">
        <f>B75</f>
        <v>55</v>
      </c>
      <c r="AM27" t="s">
        <v>202</v>
      </c>
    </row>
    <row r="28" spans="1:39" x14ac:dyDescent="0.2">
      <c r="A28" s="28" t="s">
        <v>119</v>
      </c>
      <c r="B28" s="55">
        <v>0.75</v>
      </c>
      <c r="C28" s="40"/>
      <c r="D28" s="67" t="s">
        <v>157</v>
      </c>
      <c r="E28" s="66">
        <f>B37</f>
        <v>55</v>
      </c>
      <c r="F28" s="65" t="s">
        <v>202</v>
      </c>
      <c r="G28" s="40" t="s">
        <v>125</v>
      </c>
      <c r="H28" s="221">
        <f>B43</f>
        <v>1</v>
      </c>
      <c r="I28" t="s">
        <v>205</v>
      </c>
      <c r="J28" s="40" t="s">
        <v>125</v>
      </c>
      <c r="K28" s="221">
        <f>B43</f>
        <v>1</v>
      </c>
      <c r="L28" t="s">
        <v>205</v>
      </c>
      <c r="M28" s="73" t="s">
        <v>133</v>
      </c>
      <c r="N28" s="66">
        <f>B57</f>
        <v>55</v>
      </c>
      <c r="O28" s="74" t="s">
        <v>202</v>
      </c>
      <c r="P28" t="s">
        <v>28</v>
      </c>
      <c r="Q28" s="221">
        <f>B61</f>
        <v>1</v>
      </c>
      <c r="R28" t="s">
        <v>205</v>
      </c>
      <c r="S28" s="29" t="s">
        <v>28</v>
      </c>
      <c r="T28" s="221">
        <f>B61</f>
        <v>1</v>
      </c>
      <c r="U28" t="s">
        <v>205</v>
      </c>
      <c r="V28" s="74" t="s">
        <v>128</v>
      </c>
      <c r="W28" s="66">
        <f>B66</f>
        <v>55</v>
      </c>
      <c r="X28" s="74" t="s">
        <v>202</v>
      </c>
      <c r="Y28" t="s">
        <v>28</v>
      </c>
      <c r="Z28" s="221">
        <f>B70</f>
        <v>1</v>
      </c>
      <c r="AA28" t="s">
        <v>205</v>
      </c>
      <c r="AB28" t="s">
        <v>28</v>
      </c>
      <c r="AC28" s="221">
        <f>B70</f>
        <v>1</v>
      </c>
      <c r="AD28" t="s">
        <v>205</v>
      </c>
      <c r="AE28" s="74" t="s">
        <v>13</v>
      </c>
      <c r="AF28" s="66">
        <f>B75</f>
        <v>55</v>
      </c>
      <c r="AG28" s="74" t="s">
        <v>202</v>
      </c>
      <c r="AH28" t="s">
        <v>28</v>
      </c>
      <c r="AI28" s="221">
        <f>B79</f>
        <v>1</v>
      </c>
      <c r="AJ28" t="s">
        <v>205</v>
      </c>
      <c r="AK28" t="s">
        <v>28</v>
      </c>
      <c r="AL28" s="221">
        <f>B79</f>
        <v>1</v>
      </c>
      <c r="AM28" t="s">
        <v>205</v>
      </c>
    </row>
    <row r="29" spans="1:39" x14ac:dyDescent="0.2">
      <c r="A29" s="28" t="s">
        <v>29</v>
      </c>
      <c r="B29" s="55">
        <v>0.4</v>
      </c>
      <c r="C29" s="28"/>
      <c r="D29" s="67" t="s">
        <v>156</v>
      </c>
      <c r="E29" s="66">
        <f>B36</f>
        <v>55</v>
      </c>
      <c r="F29" s="65" t="s">
        <v>202</v>
      </c>
      <c r="G29" t="s">
        <v>88</v>
      </c>
      <c r="H29" s="221">
        <f>B31</f>
        <v>0.75</v>
      </c>
      <c r="J29" t="s">
        <v>88</v>
      </c>
      <c r="K29" s="221">
        <f>B31</f>
        <v>0.75</v>
      </c>
      <c r="M29" s="74" t="s">
        <v>134</v>
      </c>
      <c r="N29" s="66">
        <f>B63</f>
        <v>5</v>
      </c>
      <c r="O29" s="74" t="s">
        <v>26</v>
      </c>
      <c r="Q29" s="221"/>
      <c r="T29" s="221"/>
      <c r="V29" s="74" t="s">
        <v>127</v>
      </c>
      <c r="W29" s="66">
        <f>B72</f>
        <v>5</v>
      </c>
      <c r="X29" s="74" t="s">
        <v>26</v>
      </c>
      <c r="Z29" s="221"/>
      <c r="AC29" s="221"/>
      <c r="AE29" s="74" t="s">
        <v>12</v>
      </c>
      <c r="AF29" s="66">
        <f>B81</f>
        <v>5</v>
      </c>
      <c r="AG29" s="74" t="s">
        <v>26</v>
      </c>
      <c r="AI29" s="221"/>
      <c r="AL29" s="221"/>
    </row>
    <row r="30" spans="1:39" x14ac:dyDescent="0.2">
      <c r="A30" s="54" t="s">
        <v>99</v>
      </c>
      <c r="B30" s="55">
        <v>5</v>
      </c>
      <c r="C30" s="28"/>
      <c r="D30" s="63" t="s">
        <v>163</v>
      </c>
      <c r="E30" s="66">
        <f>B54</f>
        <v>0.77</v>
      </c>
      <c r="F30" s="65"/>
      <c r="G30" t="s">
        <v>99</v>
      </c>
      <c r="H30" s="221">
        <f>B30</f>
        <v>5</v>
      </c>
      <c r="J30" t="s">
        <v>99</v>
      </c>
      <c r="K30" s="221">
        <f>B30</f>
        <v>5</v>
      </c>
      <c r="M30" s="28" t="s">
        <v>135</v>
      </c>
      <c r="N30" s="32">
        <f>B61</f>
        <v>1</v>
      </c>
      <c r="O30" s="28" t="s">
        <v>205</v>
      </c>
      <c r="P30" t="s">
        <v>99</v>
      </c>
      <c r="Q30" s="221">
        <f>B30</f>
        <v>5</v>
      </c>
      <c r="S30" t="s">
        <v>99</v>
      </c>
      <c r="T30" s="221">
        <f>B30</f>
        <v>5</v>
      </c>
      <c r="V30" s="28" t="s">
        <v>129</v>
      </c>
      <c r="W30" s="32">
        <f>B70</f>
        <v>1</v>
      </c>
      <c r="X30" s="28" t="s">
        <v>205</v>
      </c>
      <c r="Y30" t="s">
        <v>99</v>
      </c>
      <c r="Z30" s="221">
        <f>B30</f>
        <v>5</v>
      </c>
      <c r="AB30" t="s">
        <v>99</v>
      </c>
      <c r="AC30" s="221">
        <f>B30</f>
        <v>5</v>
      </c>
      <c r="AE30" s="28" t="s">
        <v>15</v>
      </c>
      <c r="AF30" s="32">
        <f>B79</f>
        <v>1</v>
      </c>
      <c r="AG30" s="28" t="s">
        <v>205</v>
      </c>
      <c r="AH30" s="28" t="s">
        <v>16</v>
      </c>
      <c r="AI30" s="221">
        <f>B31</f>
        <v>0.75</v>
      </c>
      <c r="AK30" s="28" t="s">
        <v>16</v>
      </c>
      <c r="AL30" s="221">
        <f>B31</f>
        <v>0.75</v>
      </c>
    </row>
    <row r="31" spans="1:39" x14ac:dyDescent="0.2">
      <c r="A31" s="54" t="s">
        <v>16</v>
      </c>
      <c r="B31" s="55">
        <v>0.75</v>
      </c>
      <c r="C31" s="28"/>
      <c r="D31" s="63" t="s">
        <v>164</v>
      </c>
      <c r="E31" s="66">
        <f>B55</f>
        <v>0.23</v>
      </c>
      <c r="F31" s="65"/>
      <c r="H31" s="221"/>
      <c r="K31" s="221"/>
      <c r="M31" s="28" t="s">
        <v>3</v>
      </c>
      <c r="N31" s="32">
        <f>B25</f>
        <v>2</v>
      </c>
      <c r="Q31" s="221"/>
      <c r="T31" s="221"/>
      <c r="V31" s="28" t="s">
        <v>3</v>
      </c>
      <c r="W31" s="32">
        <f>B25</f>
        <v>2</v>
      </c>
      <c r="Z31" s="221"/>
      <c r="AC31" s="221"/>
      <c r="AE31" s="28" t="s">
        <v>3</v>
      </c>
      <c r="AF31" s="32">
        <f>B25</f>
        <v>2</v>
      </c>
      <c r="AI31" s="221"/>
      <c r="AL31" s="221"/>
    </row>
    <row r="32" spans="1:39" x14ac:dyDescent="0.2">
      <c r="A32" s="54" t="s">
        <v>31</v>
      </c>
      <c r="B32" s="52">
        <v>666666666</v>
      </c>
      <c r="C32" s="54" t="s">
        <v>32</v>
      </c>
      <c r="D32" s="63" t="s">
        <v>147</v>
      </c>
      <c r="E32" s="66">
        <f>B52</f>
        <v>55</v>
      </c>
      <c r="F32" s="65" t="s">
        <v>24</v>
      </c>
      <c r="G32" s="28" t="s">
        <v>160</v>
      </c>
      <c r="H32" s="221">
        <f>B50</f>
        <v>2</v>
      </c>
      <c r="I32" t="s">
        <v>203</v>
      </c>
      <c r="J32" s="28" t="s">
        <v>160</v>
      </c>
      <c r="K32" s="221">
        <f>B50</f>
        <v>2</v>
      </c>
      <c r="L32" t="s">
        <v>203</v>
      </c>
      <c r="M32" s="28" t="s">
        <v>27</v>
      </c>
      <c r="N32" s="32">
        <f>B26</f>
        <v>2</v>
      </c>
      <c r="P32" t="s">
        <v>89</v>
      </c>
      <c r="Q32" s="221">
        <f>B58</f>
        <v>5</v>
      </c>
      <c r="R32" t="s">
        <v>203</v>
      </c>
      <c r="S32" t="s">
        <v>89</v>
      </c>
      <c r="T32" s="221">
        <f>B58</f>
        <v>5</v>
      </c>
      <c r="U32" t="s">
        <v>203</v>
      </c>
      <c r="V32" s="28" t="s">
        <v>27</v>
      </c>
      <c r="W32" s="32">
        <f>B26</f>
        <v>2</v>
      </c>
      <c r="Y32" t="s">
        <v>89</v>
      </c>
      <c r="Z32" s="221">
        <f>B67</f>
        <v>5</v>
      </c>
      <c r="AA32" t="s">
        <v>203</v>
      </c>
      <c r="AB32" t="s">
        <v>89</v>
      </c>
      <c r="AC32" s="221">
        <f>B67</f>
        <v>5</v>
      </c>
      <c r="AD32" t="s">
        <v>203</v>
      </c>
      <c r="AE32" s="28" t="s">
        <v>27</v>
      </c>
      <c r="AF32" s="32">
        <f>B26</f>
        <v>2</v>
      </c>
      <c r="AH32" t="s">
        <v>89</v>
      </c>
      <c r="AI32" s="221">
        <f>B76</f>
        <v>5</v>
      </c>
      <c r="AJ32" t="s">
        <v>203</v>
      </c>
      <c r="AK32" t="s">
        <v>89</v>
      </c>
      <c r="AL32" s="221">
        <f>B76</f>
        <v>5</v>
      </c>
      <c r="AM32" t="s">
        <v>203</v>
      </c>
    </row>
    <row r="33" spans="1:39" x14ac:dyDescent="0.2">
      <c r="A33" s="38" t="s">
        <v>65</v>
      </c>
      <c r="B33" s="42">
        <v>0.38</v>
      </c>
      <c r="D33" s="63" t="s">
        <v>146</v>
      </c>
      <c r="E33" s="66">
        <f>B53</f>
        <v>25</v>
      </c>
      <c r="F33" s="65" t="s">
        <v>24</v>
      </c>
      <c r="G33" t="s">
        <v>3</v>
      </c>
      <c r="H33" s="221">
        <f>B25</f>
        <v>2</v>
      </c>
      <c r="J33" t="s">
        <v>3</v>
      </c>
      <c r="K33" s="221">
        <f>B25</f>
        <v>2</v>
      </c>
      <c r="M33" s="28" t="s">
        <v>29</v>
      </c>
      <c r="N33" s="32">
        <f>B29</f>
        <v>0.4</v>
      </c>
      <c r="P33" t="s">
        <v>3</v>
      </c>
      <c r="Q33" s="221">
        <f>B25</f>
        <v>2</v>
      </c>
      <c r="S33" t="s">
        <v>3</v>
      </c>
      <c r="T33" s="221">
        <f>B25</f>
        <v>2</v>
      </c>
      <c r="V33" s="28" t="s">
        <v>29</v>
      </c>
      <c r="W33" s="32">
        <f>B29</f>
        <v>0.4</v>
      </c>
      <c r="Y33" t="s">
        <v>3</v>
      </c>
      <c r="Z33" s="221">
        <f>B25</f>
        <v>2</v>
      </c>
      <c r="AB33" t="s">
        <v>3</v>
      </c>
      <c r="AC33" s="221">
        <f>B25</f>
        <v>2</v>
      </c>
      <c r="AE33" s="28" t="s">
        <v>29</v>
      </c>
      <c r="AF33" s="32">
        <f>B29</f>
        <v>0.4</v>
      </c>
      <c r="AH33" t="s">
        <v>3</v>
      </c>
      <c r="AI33" s="221">
        <f>B25</f>
        <v>2</v>
      </c>
      <c r="AK33" t="s">
        <v>3</v>
      </c>
      <c r="AL33" s="221">
        <f>B25</f>
        <v>2</v>
      </c>
    </row>
    <row r="34" spans="1:39" ht="15" x14ac:dyDescent="0.2">
      <c r="A34" s="426" t="s">
        <v>7</v>
      </c>
      <c r="B34" s="426"/>
      <c r="C34" s="427"/>
      <c r="D34" s="67" t="s">
        <v>151</v>
      </c>
      <c r="E34" s="66">
        <f>B48</f>
        <v>5</v>
      </c>
      <c r="F34" s="65" t="s">
        <v>204</v>
      </c>
      <c r="G34" s="29" t="s">
        <v>27</v>
      </c>
      <c r="H34" s="222">
        <f>B26</f>
        <v>2</v>
      </c>
      <c r="I34" s="29"/>
      <c r="J34" s="29" t="s">
        <v>27</v>
      </c>
      <c r="K34" s="222">
        <f>B26</f>
        <v>2</v>
      </c>
      <c r="L34" s="29"/>
      <c r="M34" s="54" t="s">
        <v>99</v>
      </c>
      <c r="N34" s="32">
        <f>B30</f>
        <v>5</v>
      </c>
      <c r="P34" s="29" t="s">
        <v>27</v>
      </c>
      <c r="Q34" s="222">
        <f>B26</f>
        <v>2</v>
      </c>
      <c r="R34" s="29"/>
      <c r="S34" s="29" t="s">
        <v>27</v>
      </c>
      <c r="T34" s="222">
        <f>B26</f>
        <v>2</v>
      </c>
      <c r="U34" s="29"/>
      <c r="V34" s="54" t="s">
        <v>99</v>
      </c>
      <c r="W34" s="32">
        <f>B30</f>
        <v>5</v>
      </c>
      <c r="Y34" s="29" t="s">
        <v>27</v>
      </c>
      <c r="Z34" s="222">
        <f>B26</f>
        <v>2</v>
      </c>
      <c r="AA34" s="29"/>
      <c r="AB34" s="29" t="s">
        <v>27</v>
      </c>
      <c r="AC34" s="222">
        <f>B26</f>
        <v>2</v>
      </c>
      <c r="AD34" s="29"/>
      <c r="AE34" s="54" t="s">
        <v>99</v>
      </c>
      <c r="AF34" s="32">
        <f>B30</f>
        <v>5</v>
      </c>
      <c r="AH34" s="29" t="s">
        <v>27</v>
      </c>
      <c r="AI34" s="222">
        <f>B26</f>
        <v>2</v>
      </c>
      <c r="AJ34" s="29"/>
      <c r="AK34" s="29" t="s">
        <v>27</v>
      </c>
      <c r="AL34" s="222">
        <f>B26</f>
        <v>2</v>
      </c>
      <c r="AM34" s="29"/>
    </row>
    <row r="35" spans="1:39" x14ac:dyDescent="0.2">
      <c r="A35" s="40" t="s">
        <v>155</v>
      </c>
      <c r="B35" s="166">
        <v>55</v>
      </c>
      <c r="C35" s="40" t="s">
        <v>202</v>
      </c>
      <c r="D35" s="67" t="s">
        <v>150</v>
      </c>
      <c r="E35" s="66">
        <f>B49</f>
        <v>15</v>
      </c>
      <c r="F35" s="65" t="s">
        <v>204</v>
      </c>
      <c r="G35" s="28" t="s">
        <v>139</v>
      </c>
      <c r="H35" s="221">
        <f>B24</f>
        <v>2</v>
      </c>
      <c r="J35" s="28" t="s">
        <v>139</v>
      </c>
      <c r="K35" s="221">
        <f>B24</f>
        <v>2</v>
      </c>
      <c r="M35" s="54" t="s">
        <v>16</v>
      </c>
      <c r="N35" s="32">
        <f>B31</f>
        <v>0.75</v>
      </c>
      <c r="P35" s="28" t="s">
        <v>139</v>
      </c>
      <c r="Q35" s="221">
        <f>B24</f>
        <v>2</v>
      </c>
      <c r="S35" s="28" t="s">
        <v>139</v>
      </c>
      <c r="T35" s="221">
        <f>B24</f>
        <v>2</v>
      </c>
      <c r="V35" s="54" t="s">
        <v>16</v>
      </c>
      <c r="W35" s="32">
        <f>B31</f>
        <v>0.75</v>
      </c>
      <c r="Y35" s="28" t="s">
        <v>139</v>
      </c>
      <c r="Z35" s="221">
        <f>B24</f>
        <v>2</v>
      </c>
      <c r="AB35" s="28" t="s">
        <v>139</v>
      </c>
      <c r="AC35" s="221">
        <f>B24</f>
        <v>2</v>
      </c>
      <c r="AE35" s="54" t="s">
        <v>16</v>
      </c>
      <c r="AF35" s="32">
        <f>B31</f>
        <v>0.75</v>
      </c>
      <c r="AH35" s="28" t="s">
        <v>139</v>
      </c>
      <c r="AI35" s="221">
        <f>B24</f>
        <v>2</v>
      </c>
      <c r="AK35" s="28" t="s">
        <v>139</v>
      </c>
      <c r="AL35" s="221">
        <f>B24</f>
        <v>2</v>
      </c>
    </row>
    <row r="36" spans="1:39" x14ac:dyDescent="0.2">
      <c r="A36" s="40" t="s">
        <v>156</v>
      </c>
      <c r="B36" s="166">
        <v>55</v>
      </c>
      <c r="C36" s="40" t="s">
        <v>202</v>
      </c>
      <c r="D36" s="63" t="s">
        <v>149</v>
      </c>
      <c r="E36" s="66">
        <f>B47</f>
        <v>10</v>
      </c>
      <c r="F36" s="65" t="s">
        <v>26</v>
      </c>
      <c r="G36" s="28" t="s">
        <v>161</v>
      </c>
      <c r="H36" s="221">
        <f>B51</f>
        <v>20</v>
      </c>
      <c r="J36" s="28" t="s">
        <v>161</v>
      </c>
      <c r="K36" s="221">
        <f>B51</f>
        <v>20</v>
      </c>
      <c r="M36" s="28" t="s">
        <v>30</v>
      </c>
      <c r="N36" s="43">
        <f>B18</f>
        <v>0.80851063829787195</v>
      </c>
      <c r="Q36" s="221"/>
      <c r="T36" s="221"/>
      <c r="V36" s="28" t="s">
        <v>30</v>
      </c>
      <c r="W36" s="43">
        <f>B18</f>
        <v>0.80851063829787195</v>
      </c>
      <c r="Z36" s="221"/>
      <c r="AC36" s="221"/>
      <c r="AE36" s="28" t="s">
        <v>30</v>
      </c>
      <c r="AF36" s="43">
        <f>B18</f>
        <v>0.80851063829787195</v>
      </c>
      <c r="AI36" s="221"/>
      <c r="AL36" s="221"/>
    </row>
    <row r="37" spans="1:39" x14ac:dyDescent="0.2">
      <c r="A37" s="40" t="s">
        <v>157</v>
      </c>
      <c r="B37" s="166">
        <v>55</v>
      </c>
      <c r="C37" s="40" t="s">
        <v>202</v>
      </c>
      <c r="D37" s="68" t="s">
        <v>148</v>
      </c>
      <c r="E37" s="69">
        <f>B46</f>
        <v>5</v>
      </c>
      <c r="F37" s="70" t="s">
        <v>26</v>
      </c>
      <c r="G37" t="s">
        <v>90</v>
      </c>
      <c r="H37" s="221">
        <f>B23</f>
        <v>1.393</v>
      </c>
      <c r="J37" s="38" t="s">
        <v>141</v>
      </c>
      <c r="K37" s="220">
        <f>B17</f>
        <v>0.75299145299145298</v>
      </c>
      <c r="M37" s="54" t="s">
        <v>31</v>
      </c>
      <c r="N37" s="53">
        <f>B32</f>
        <v>666666666</v>
      </c>
      <c r="O37" s="54" t="s">
        <v>32</v>
      </c>
      <c r="P37" s="30" t="s">
        <v>5</v>
      </c>
      <c r="Q37" s="221">
        <f>B23</f>
        <v>1.393</v>
      </c>
      <c r="R37" t="s">
        <v>91</v>
      </c>
      <c r="S37" s="38" t="s">
        <v>141</v>
      </c>
      <c r="T37" s="220">
        <f>B17</f>
        <v>0.75299145299145298</v>
      </c>
      <c r="V37" s="54" t="s">
        <v>31</v>
      </c>
      <c r="W37" s="53">
        <f>B32</f>
        <v>666666666</v>
      </c>
      <c r="X37" s="54" t="s">
        <v>32</v>
      </c>
      <c r="Y37" s="30" t="s">
        <v>5</v>
      </c>
      <c r="Z37" s="221">
        <f>B23</f>
        <v>1.393</v>
      </c>
      <c r="AA37" t="s">
        <v>91</v>
      </c>
      <c r="AB37" s="38" t="s">
        <v>141</v>
      </c>
      <c r="AC37" s="220">
        <f>B17</f>
        <v>0.75299145299145298</v>
      </c>
      <c r="AE37" s="54" t="s">
        <v>31</v>
      </c>
      <c r="AF37" s="53">
        <f>B32</f>
        <v>666666666</v>
      </c>
      <c r="AG37" s="54" t="s">
        <v>32</v>
      </c>
      <c r="AH37" s="30" t="s">
        <v>5</v>
      </c>
      <c r="AI37" s="221">
        <f>B23</f>
        <v>1.393</v>
      </c>
      <c r="AJ37" t="s">
        <v>91</v>
      </c>
      <c r="AK37" s="38" t="s">
        <v>141</v>
      </c>
      <c r="AL37" s="220">
        <f>B17</f>
        <v>0.75299145299145298</v>
      </c>
    </row>
    <row r="38" spans="1:39" x14ac:dyDescent="0.2">
      <c r="A38" s="40" t="s">
        <v>154</v>
      </c>
      <c r="B38" s="42">
        <v>10</v>
      </c>
      <c r="C38" s="40" t="s">
        <v>203</v>
      </c>
      <c r="D38" s="28" t="s">
        <v>125</v>
      </c>
      <c r="E38" s="32">
        <f>B43</f>
        <v>1</v>
      </c>
      <c r="F38" s="28" t="s">
        <v>205</v>
      </c>
      <c r="H38" s="221"/>
      <c r="J38" s="38" t="s">
        <v>142</v>
      </c>
      <c r="K38" s="220">
        <f>B18</f>
        <v>0.80851063829787195</v>
      </c>
      <c r="M38" s="44" t="s">
        <v>98</v>
      </c>
      <c r="N38" s="43">
        <f>PEF!W2</f>
        <v>17636131.202504292</v>
      </c>
      <c r="O38" s="28" t="s">
        <v>34</v>
      </c>
      <c r="Q38" s="221"/>
      <c r="S38" s="38" t="s">
        <v>142</v>
      </c>
      <c r="T38" s="220">
        <f>B18</f>
        <v>0.80851063829787195</v>
      </c>
      <c r="V38" s="44" t="s">
        <v>98</v>
      </c>
      <c r="W38" s="43">
        <f>PEF!W2</f>
        <v>17636131.202504292</v>
      </c>
      <c r="X38" s="28" t="s">
        <v>34</v>
      </c>
      <c r="AB38" s="38" t="s">
        <v>142</v>
      </c>
      <c r="AC38" s="220">
        <f>B18</f>
        <v>0.80851063829787195</v>
      </c>
      <c r="AE38" s="44" t="s">
        <v>98</v>
      </c>
      <c r="AF38" s="43">
        <f>PEF!O2</f>
        <v>1114670.500974617</v>
      </c>
      <c r="AG38" s="28" t="s">
        <v>34</v>
      </c>
      <c r="AI38" s="221"/>
      <c r="AK38" s="38" t="s">
        <v>142</v>
      </c>
      <c r="AL38" s="221">
        <f>B18</f>
        <v>0.80851063829787195</v>
      </c>
    </row>
    <row r="39" spans="1:39" x14ac:dyDescent="0.2">
      <c r="A39" s="40" t="s">
        <v>158</v>
      </c>
      <c r="B39" s="42">
        <v>10</v>
      </c>
      <c r="C39" s="40" t="s">
        <v>203</v>
      </c>
      <c r="D39" s="28" t="s">
        <v>3</v>
      </c>
      <c r="E39" s="32">
        <f>B25</f>
        <v>2</v>
      </c>
      <c r="H39" s="221"/>
      <c r="J39" s="38" t="s">
        <v>143</v>
      </c>
      <c r="K39" s="220">
        <f>B19</f>
        <v>0.74267782426778195</v>
      </c>
      <c r="M39" s="28" t="s">
        <v>33</v>
      </c>
      <c r="N39" s="43">
        <f>PEF!C2</f>
        <v>1365593623.3683286</v>
      </c>
      <c r="O39" s="28" t="s">
        <v>34</v>
      </c>
      <c r="Q39" s="221"/>
      <c r="S39" s="38" t="s">
        <v>143</v>
      </c>
      <c r="T39" s="220">
        <f>B19</f>
        <v>0.74267782426778195</v>
      </c>
      <c r="V39" s="28" t="s">
        <v>33</v>
      </c>
      <c r="W39" s="43">
        <f>PEF!C2</f>
        <v>1365593623.3683286</v>
      </c>
      <c r="X39" s="28" t="s">
        <v>34</v>
      </c>
      <c r="AB39" s="38" t="s">
        <v>143</v>
      </c>
      <c r="AC39" s="220">
        <f>B19</f>
        <v>0.74267782426778195</v>
      </c>
      <c r="AE39" s="28" t="s">
        <v>33</v>
      </c>
      <c r="AF39" s="43">
        <f>PEF!C2</f>
        <v>1365593623.3683286</v>
      </c>
      <c r="AG39" s="28" t="s">
        <v>34</v>
      </c>
      <c r="AI39" s="221"/>
      <c r="AK39" s="38" t="s">
        <v>143</v>
      </c>
      <c r="AL39" s="221">
        <f>B19</f>
        <v>0.74267782426778195</v>
      </c>
    </row>
    <row r="40" spans="1:39" x14ac:dyDescent="0.2">
      <c r="A40" s="40" t="s">
        <v>159</v>
      </c>
      <c r="B40" s="42">
        <v>10</v>
      </c>
      <c r="C40" s="40" t="s">
        <v>203</v>
      </c>
      <c r="D40" s="28" t="s">
        <v>27</v>
      </c>
      <c r="E40" s="32">
        <f>B26</f>
        <v>2</v>
      </c>
      <c r="H40" s="221"/>
      <c r="J40" s="38" t="s">
        <v>144</v>
      </c>
      <c r="K40" s="220">
        <f>B20</f>
        <v>0.71144278606965194</v>
      </c>
      <c r="M40" s="28" t="s">
        <v>102</v>
      </c>
      <c r="N40" s="32">
        <f>B22</f>
        <v>241</v>
      </c>
      <c r="O40" s="28" t="s">
        <v>103</v>
      </c>
      <c r="Q40" s="221"/>
      <c r="S40" s="38" t="s">
        <v>144</v>
      </c>
      <c r="T40" s="220">
        <f>B20</f>
        <v>0.71144278606965194</v>
      </c>
      <c r="V40" s="28" t="s">
        <v>102</v>
      </c>
      <c r="W40" s="32">
        <f>B22</f>
        <v>241</v>
      </c>
      <c r="X40" s="28" t="s">
        <v>103</v>
      </c>
      <c r="AB40" s="38" t="s">
        <v>144</v>
      </c>
      <c r="AC40" s="220">
        <f>B20</f>
        <v>0.71144278606965194</v>
      </c>
      <c r="AE40" s="28" t="s">
        <v>102</v>
      </c>
      <c r="AF40" s="32">
        <f>B22</f>
        <v>241</v>
      </c>
      <c r="AG40" s="28" t="s">
        <v>103</v>
      </c>
      <c r="AI40" s="221"/>
      <c r="AK40" s="38" t="s">
        <v>144</v>
      </c>
      <c r="AL40" s="221">
        <f>B20</f>
        <v>0.71144278606965194</v>
      </c>
    </row>
    <row r="41" spans="1:39" x14ac:dyDescent="0.2">
      <c r="A41" s="40" t="s">
        <v>152</v>
      </c>
      <c r="B41" s="42">
        <v>10</v>
      </c>
      <c r="C41" s="40" t="s">
        <v>203</v>
      </c>
      <c r="D41" s="28" t="s">
        <v>160</v>
      </c>
      <c r="E41" s="32">
        <f>B50</f>
        <v>2</v>
      </c>
      <c r="F41" s="28" t="s">
        <v>203</v>
      </c>
      <c r="H41" s="221"/>
      <c r="J41" s="38" t="s">
        <v>145</v>
      </c>
      <c r="K41" s="220">
        <f>B21</f>
        <v>0.66173120728929402</v>
      </c>
      <c r="M41" s="28" t="s">
        <v>100</v>
      </c>
      <c r="N41" s="207">
        <v>27.027027027027</v>
      </c>
      <c r="O41" s="28" t="s">
        <v>101</v>
      </c>
      <c r="Q41" s="221"/>
      <c r="S41" s="38" t="s">
        <v>145</v>
      </c>
      <c r="T41" s="220">
        <f>B21</f>
        <v>0.66173120728929402</v>
      </c>
      <c r="V41" s="28" t="s">
        <v>100</v>
      </c>
      <c r="W41" s="207">
        <v>27.027027027027</v>
      </c>
      <c r="X41" s="28" t="s">
        <v>101</v>
      </c>
      <c r="AB41" s="38" t="s">
        <v>145</v>
      </c>
      <c r="AC41" s="220">
        <f>B21</f>
        <v>0.66173120728929402</v>
      </c>
      <c r="AE41" s="28" t="s">
        <v>100</v>
      </c>
      <c r="AF41" s="207">
        <v>27.027027027027</v>
      </c>
      <c r="AG41" s="28" t="s">
        <v>101</v>
      </c>
      <c r="AI41" s="221"/>
      <c r="AK41" s="38" t="s">
        <v>145</v>
      </c>
      <c r="AL41" s="221">
        <f>B21</f>
        <v>0.66173120728929402</v>
      </c>
    </row>
    <row r="42" spans="1:39" x14ac:dyDescent="0.2">
      <c r="A42" s="40" t="s">
        <v>153</v>
      </c>
      <c r="B42" s="42">
        <v>10</v>
      </c>
      <c r="C42" s="40" t="s">
        <v>203</v>
      </c>
      <c r="D42" s="28" t="s">
        <v>161</v>
      </c>
      <c r="E42" s="32">
        <f>B51</f>
        <v>20</v>
      </c>
      <c r="F42" s="28" t="s">
        <v>203</v>
      </c>
      <c r="G42" s="28" t="s">
        <v>100</v>
      </c>
      <c r="H42" s="207">
        <v>27.027027027027</v>
      </c>
      <c r="I42" s="28" t="s">
        <v>101</v>
      </c>
      <c r="J42" s="28" t="s">
        <v>100</v>
      </c>
      <c r="K42" s="207">
        <v>27.027027027027</v>
      </c>
      <c r="L42" s="28" t="s">
        <v>101</v>
      </c>
      <c r="M42" s="28" t="s">
        <v>104</v>
      </c>
      <c r="N42" s="32">
        <f>2.8*(10^(-15))</f>
        <v>2.8000000000000001E-15</v>
      </c>
      <c r="P42" s="28" t="s">
        <v>100</v>
      </c>
      <c r="Q42" s="207">
        <v>27.027027027027</v>
      </c>
      <c r="R42" s="28" t="s">
        <v>101</v>
      </c>
      <c r="S42" s="28" t="s">
        <v>100</v>
      </c>
      <c r="T42" s="207">
        <v>27.027027027027</v>
      </c>
      <c r="U42" s="28" t="s">
        <v>101</v>
      </c>
      <c r="V42" s="28" t="s">
        <v>104</v>
      </c>
      <c r="W42" s="32">
        <f>2.8*(10^(-15))</f>
        <v>2.8000000000000001E-15</v>
      </c>
      <c r="Y42" s="28" t="s">
        <v>100</v>
      </c>
      <c r="Z42" s="207">
        <v>27.027027027027</v>
      </c>
      <c r="AA42" s="28" t="s">
        <v>101</v>
      </c>
      <c r="AB42" s="28" t="s">
        <v>100</v>
      </c>
      <c r="AC42" s="207">
        <v>27.027027027027</v>
      </c>
      <c r="AD42" s="28" t="s">
        <v>101</v>
      </c>
      <c r="AE42" s="28" t="s">
        <v>104</v>
      </c>
      <c r="AF42" s="32">
        <f>2.8*(10^(-15))</f>
        <v>2.8000000000000001E-15</v>
      </c>
      <c r="AH42" s="28" t="s">
        <v>100</v>
      </c>
      <c r="AI42" s="207">
        <v>27.027027027027</v>
      </c>
      <c r="AJ42" s="28" t="s">
        <v>101</v>
      </c>
      <c r="AK42" s="28" t="s">
        <v>100</v>
      </c>
      <c r="AL42" s="207">
        <v>27.027027027027</v>
      </c>
      <c r="AM42" s="28" t="s">
        <v>101</v>
      </c>
    </row>
    <row r="43" spans="1:39" x14ac:dyDescent="0.2">
      <c r="A43" s="40" t="s">
        <v>125</v>
      </c>
      <c r="B43" s="42">
        <v>1</v>
      </c>
      <c r="C43" s="40" t="s">
        <v>10</v>
      </c>
      <c r="D43" s="28" t="s">
        <v>29</v>
      </c>
      <c r="E43" s="32">
        <f>B29</f>
        <v>0.4</v>
      </c>
      <c r="G43" s="28" t="s">
        <v>102</v>
      </c>
      <c r="H43" s="32">
        <f>B22</f>
        <v>241</v>
      </c>
      <c r="I43" s="28" t="s">
        <v>103</v>
      </c>
      <c r="J43" s="28" t="s">
        <v>102</v>
      </c>
      <c r="K43" s="32">
        <f>B22</f>
        <v>241</v>
      </c>
      <c r="L43" s="28" t="s">
        <v>103</v>
      </c>
      <c r="P43" s="28" t="s">
        <v>102</v>
      </c>
      <c r="Q43" s="32">
        <f>B22</f>
        <v>241</v>
      </c>
      <c r="R43" s="28" t="s">
        <v>103</v>
      </c>
      <c r="S43" s="28" t="s">
        <v>102</v>
      </c>
      <c r="T43" s="32">
        <f>B22</f>
        <v>241</v>
      </c>
      <c r="U43" s="28" t="s">
        <v>103</v>
      </c>
      <c r="Y43" s="28" t="s">
        <v>102</v>
      </c>
      <c r="Z43" s="32">
        <f>B22</f>
        <v>241</v>
      </c>
      <c r="AA43" s="28" t="s">
        <v>103</v>
      </c>
      <c r="AB43" s="28" t="s">
        <v>102</v>
      </c>
      <c r="AC43" s="32">
        <f>B22</f>
        <v>241</v>
      </c>
      <c r="AD43" s="28" t="s">
        <v>103</v>
      </c>
      <c r="AH43" s="28" t="s">
        <v>102</v>
      </c>
      <c r="AI43" s="32">
        <f>B22</f>
        <v>241</v>
      </c>
      <c r="AJ43" s="28" t="s">
        <v>103</v>
      </c>
      <c r="AK43" s="28" t="s">
        <v>102</v>
      </c>
      <c r="AL43" s="32">
        <f>B22</f>
        <v>241</v>
      </c>
      <c r="AM43" s="28" t="s">
        <v>103</v>
      </c>
    </row>
    <row r="44" spans="1:39" x14ac:dyDescent="0.2">
      <c r="A44" s="40" t="s">
        <v>146</v>
      </c>
      <c r="B44" s="42">
        <v>25</v>
      </c>
      <c r="C44" s="40" t="s">
        <v>120</v>
      </c>
      <c r="D44" s="54" t="s">
        <v>99</v>
      </c>
      <c r="E44" s="32">
        <f>B30</f>
        <v>5</v>
      </c>
      <c r="G44" s="28" t="s">
        <v>104</v>
      </c>
      <c r="H44" s="32">
        <f>2.8*(10^(-12))</f>
        <v>2.7999999999999998E-12</v>
      </c>
      <c r="I44" s="28"/>
      <c r="J44" s="28" t="s">
        <v>104</v>
      </c>
      <c r="K44" s="32">
        <f>2.8*(10^(-12))</f>
        <v>2.7999999999999998E-12</v>
      </c>
      <c r="L44" s="28"/>
      <c r="P44" s="28" t="s">
        <v>104</v>
      </c>
      <c r="Q44" s="32">
        <f>2.8*(10^(-12))</f>
        <v>2.7999999999999998E-12</v>
      </c>
      <c r="R44" s="28"/>
      <c r="S44" s="28" t="s">
        <v>104</v>
      </c>
      <c r="T44" s="32">
        <f>2.8*(10^(-12))</f>
        <v>2.7999999999999998E-12</v>
      </c>
      <c r="U44" s="28"/>
      <c r="Y44" s="28" t="s">
        <v>104</v>
      </c>
      <c r="Z44" s="32">
        <f>2.8*(10^(-12))</f>
        <v>2.7999999999999998E-12</v>
      </c>
      <c r="AA44" s="28"/>
      <c r="AB44" s="28" t="s">
        <v>104</v>
      </c>
      <c r="AC44" s="32">
        <f>2.8*(10^(-12))</f>
        <v>2.7999999999999998E-12</v>
      </c>
      <c r="AD44" s="28"/>
      <c r="AH44" s="28" t="s">
        <v>104</v>
      </c>
      <c r="AI44" s="32">
        <f>2.8*(10^(-12))</f>
        <v>2.7999999999999998E-12</v>
      </c>
      <c r="AJ44" s="28"/>
      <c r="AK44" s="28" t="s">
        <v>104</v>
      </c>
      <c r="AL44" s="32">
        <f>2.8*(10^(-12))</f>
        <v>2.7999999999999998E-12</v>
      </c>
      <c r="AM44" s="28"/>
    </row>
    <row r="45" spans="1:39" x14ac:dyDescent="0.2">
      <c r="A45" s="40" t="s">
        <v>147</v>
      </c>
      <c r="B45" s="42">
        <v>75</v>
      </c>
      <c r="C45" s="40" t="s">
        <v>120</v>
      </c>
      <c r="D45" s="54" t="s">
        <v>16</v>
      </c>
      <c r="E45" s="32">
        <f>B31</f>
        <v>0.75</v>
      </c>
      <c r="G45" s="28" t="s">
        <v>104</v>
      </c>
      <c r="H45" s="32">
        <f>2.8*(10^(-15))</f>
        <v>2.8000000000000001E-15</v>
      </c>
      <c r="J45" s="28" t="s">
        <v>104</v>
      </c>
      <c r="K45" s="32">
        <f>2.8*(10^(-15))</f>
        <v>2.8000000000000001E-15</v>
      </c>
      <c r="P45" s="28" t="s">
        <v>104</v>
      </c>
      <c r="Q45" s="32">
        <f>2.8*(10^(-15))</f>
        <v>2.8000000000000001E-15</v>
      </c>
      <c r="S45" s="28" t="s">
        <v>104</v>
      </c>
      <c r="T45" s="32">
        <f>2.8*(10^(-15))</f>
        <v>2.8000000000000001E-15</v>
      </c>
      <c r="Y45" s="28" t="s">
        <v>104</v>
      </c>
      <c r="Z45" s="32">
        <f>2.8*(10^(-15))</f>
        <v>2.8000000000000001E-15</v>
      </c>
      <c r="AB45" s="28" t="s">
        <v>104</v>
      </c>
      <c r="AC45" s="32">
        <f>2.8*(10^(-15))</f>
        <v>2.8000000000000001E-15</v>
      </c>
      <c r="AH45" s="28" t="s">
        <v>104</v>
      </c>
      <c r="AI45" s="32">
        <f>2.8*(10^(-15))</f>
        <v>2.8000000000000001E-15</v>
      </c>
      <c r="AK45" s="28" t="s">
        <v>104</v>
      </c>
      <c r="AL45" s="32">
        <f>2.8*(10^(-15))</f>
        <v>2.8000000000000001E-15</v>
      </c>
    </row>
    <row r="46" spans="1:39" x14ac:dyDescent="0.2">
      <c r="A46" s="40" t="s">
        <v>148</v>
      </c>
      <c r="B46" s="42">
        <v>5</v>
      </c>
      <c r="C46" s="40" t="s">
        <v>121</v>
      </c>
      <c r="D46" s="28" t="s">
        <v>30</v>
      </c>
      <c r="E46" s="43">
        <f>B18</f>
        <v>0.80851063829787195</v>
      </c>
      <c r="Z46" s="221"/>
      <c r="AC46" s="221"/>
    </row>
    <row r="47" spans="1:39" x14ac:dyDescent="0.2">
      <c r="A47" s="40" t="s">
        <v>149</v>
      </c>
      <c r="B47" s="42">
        <v>10</v>
      </c>
      <c r="C47" s="40" t="s">
        <v>121</v>
      </c>
      <c r="D47" s="54" t="s">
        <v>31</v>
      </c>
      <c r="E47" s="53">
        <f>B32</f>
        <v>666666666</v>
      </c>
      <c r="F47" s="54" t="s">
        <v>32</v>
      </c>
      <c r="I47" s="258" t="s">
        <v>197</v>
      </c>
    </row>
    <row r="48" spans="1:39" x14ac:dyDescent="0.2">
      <c r="A48" s="40" t="s">
        <v>151</v>
      </c>
      <c r="B48" s="55">
        <v>5</v>
      </c>
      <c r="C48" s="28" t="s">
        <v>204</v>
      </c>
      <c r="D48" s="44" t="s">
        <v>98</v>
      </c>
      <c r="E48" s="43">
        <f>PEF!Q2</f>
        <v>37012232.751917742</v>
      </c>
      <c r="F48" s="28" t="s">
        <v>34</v>
      </c>
      <c r="I48" s="258">
        <v>200</v>
      </c>
    </row>
    <row r="49" spans="1:6" x14ac:dyDescent="0.2">
      <c r="A49" s="40" t="s">
        <v>150</v>
      </c>
      <c r="B49" s="55">
        <v>15</v>
      </c>
      <c r="C49" s="28" t="s">
        <v>204</v>
      </c>
      <c r="D49" s="28" t="s">
        <v>33</v>
      </c>
      <c r="E49" s="43">
        <f>PEF!C2</f>
        <v>1365593623.3683286</v>
      </c>
      <c r="F49" s="28" t="s">
        <v>34</v>
      </c>
    </row>
    <row r="50" spans="1:6" x14ac:dyDescent="0.2">
      <c r="A50" s="28" t="s">
        <v>160</v>
      </c>
      <c r="B50" s="55">
        <v>2</v>
      </c>
      <c r="C50" s="28" t="s">
        <v>203</v>
      </c>
      <c r="D50" s="28" t="s">
        <v>102</v>
      </c>
      <c r="E50" s="32">
        <f>B22</f>
        <v>241</v>
      </c>
      <c r="F50" s="28" t="s">
        <v>103</v>
      </c>
    </row>
    <row r="51" spans="1:6" x14ac:dyDescent="0.2">
      <c r="A51" s="28" t="s">
        <v>161</v>
      </c>
      <c r="B51" s="55">
        <v>20</v>
      </c>
      <c r="C51" s="28" t="s">
        <v>203</v>
      </c>
      <c r="D51" s="28" t="s">
        <v>100</v>
      </c>
      <c r="E51" s="207">
        <v>27.027027027027</v>
      </c>
      <c r="F51" s="28" t="s">
        <v>101</v>
      </c>
    </row>
    <row r="52" spans="1:6" x14ac:dyDescent="0.2">
      <c r="A52" s="28" t="s">
        <v>147</v>
      </c>
      <c r="B52" s="55">
        <v>55</v>
      </c>
      <c r="C52" s="28" t="s">
        <v>24</v>
      </c>
      <c r="D52" s="28" t="s">
        <v>104</v>
      </c>
      <c r="E52" s="32">
        <f>2.8*(10^(-15))</f>
        <v>2.8000000000000001E-15</v>
      </c>
    </row>
    <row r="53" spans="1:6" x14ac:dyDescent="0.2">
      <c r="A53" s="28" t="s">
        <v>146</v>
      </c>
      <c r="B53" s="55">
        <v>25</v>
      </c>
      <c r="C53" s="28" t="s">
        <v>24</v>
      </c>
    </row>
    <row r="54" spans="1:6" x14ac:dyDescent="0.2">
      <c r="A54" s="28" t="s">
        <v>163</v>
      </c>
      <c r="B54" s="55">
        <v>0.77</v>
      </c>
      <c r="C54" s="28"/>
      <c r="F54" s="31" t="s">
        <v>196</v>
      </c>
    </row>
    <row r="55" spans="1:6" x14ac:dyDescent="0.2">
      <c r="A55" s="28" t="s">
        <v>164</v>
      </c>
      <c r="B55" s="55">
        <v>0.23</v>
      </c>
      <c r="C55" s="28"/>
      <c r="F55" s="31" t="s">
        <v>95</v>
      </c>
    </row>
    <row r="56" spans="1:6" ht="15" x14ac:dyDescent="0.2">
      <c r="A56" s="428" t="s">
        <v>180</v>
      </c>
      <c r="B56" s="428"/>
      <c r="C56" s="428"/>
      <c r="F56" s="31" t="s">
        <v>96</v>
      </c>
    </row>
    <row r="57" spans="1:6" x14ac:dyDescent="0.2">
      <c r="A57" s="40" t="s">
        <v>133</v>
      </c>
      <c r="B57" s="166">
        <v>55</v>
      </c>
      <c r="C57" s="40" t="s">
        <v>202</v>
      </c>
      <c r="F57" s="31" t="s">
        <v>97</v>
      </c>
    </row>
    <row r="58" spans="1:6" x14ac:dyDescent="0.2">
      <c r="A58" s="40" t="s">
        <v>122</v>
      </c>
      <c r="B58" s="42">
        <v>5</v>
      </c>
      <c r="C58" s="40" t="s">
        <v>203</v>
      </c>
    </row>
    <row r="59" spans="1:6" x14ac:dyDescent="0.2">
      <c r="A59" s="40" t="s">
        <v>185</v>
      </c>
      <c r="B59" s="42">
        <v>5</v>
      </c>
      <c r="C59" s="40" t="s">
        <v>203</v>
      </c>
    </row>
    <row r="60" spans="1:6" x14ac:dyDescent="0.2">
      <c r="A60" s="40" t="s">
        <v>186</v>
      </c>
      <c r="B60" s="42">
        <v>5</v>
      </c>
      <c r="C60" s="40" t="s">
        <v>203</v>
      </c>
    </row>
    <row r="61" spans="1:6" x14ac:dyDescent="0.2">
      <c r="A61" s="40" t="s">
        <v>135</v>
      </c>
      <c r="B61" s="42">
        <v>1</v>
      </c>
      <c r="C61" s="40" t="s">
        <v>10</v>
      </c>
    </row>
    <row r="62" spans="1:6" x14ac:dyDescent="0.2">
      <c r="A62" s="40" t="s">
        <v>136</v>
      </c>
      <c r="B62" s="42">
        <v>55</v>
      </c>
      <c r="C62" s="40" t="s">
        <v>120</v>
      </c>
    </row>
    <row r="63" spans="1:6" x14ac:dyDescent="0.2">
      <c r="A63" s="40" t="s">
        <v>134</v>
      </c>
      <c r="B63" s="42">
        <v>5</v>
      </c>
      <c r="C63" s="40" t="s">
        <v>121</v>
      </c>
    </row>
    <row r="64" spans="1:6" x14ac:dyDescent="0.2">
      <c r="A64" s="40" t="s">
        <v>137</v>
      </c>
      <c r="B64" s="42">
        <v>5</v>
      </c>
      <c r="C64" s="40" t="s">
        <v>204</v>
      </c>
    </row>
    <row r="65" spans="1:3" ht="15" x14ac:dyDescent="0.2">
      <c r="A65" s="429" t="s">
        <v>181</v>
      </c>
      <c r="B65" s="429"/>
      <c r="C65" s="429"/>
    </row>
    <row r="66" spans="1:3" x14ac:dyDescent="0.2">
      <c r="A66" s="40" t="s">
        <v>128</v>
      </c>
      <c r="B66" s="166">
        <v>55</v>
      </c>
      <c r="C66" s="40" t="s">
        <v>202</v>
      </c>
    </row>
    <row r="67" spans="1:3" x14ac:dyDescent="0.2">
      <c r="A67" s="40" t="s">
        <v>122</v>
      </c>
      <c r="B67" s="42">
        <v>5</v>
      </c>
      <c r="C67" s="40" t="s">
        <v>203</v>
      </c>
    </row>
    <row r="68" spans="1:3" x14ac:dyDescent="0.2">
      <c r="A68" s="40" t="s">
        <v>183</v>
      </c>
      <c r="B68" s="42">
        <v>5</v>
      </c>
      <c r="C68" s="40" t="s">
        <v>203</v>
      </c>
    </row>
    <row r="69" spans="1:3" x14ac:dyDescent="0.2">
      <c r="A69" s="40" t="s">
        <v>184</v>
      </c>
      <c r="B69" s="42">
        <v>5</v>
      </c>
      <c r="C69" s="40" t="s">
        <v>203</v>
      </c>
    </row>
    <row r="70" spans="1:3" x14ac:dyDescent="0.2">
      <c r="A70" s="40" t="s">
        <v>129</v>
      </c>
      <c r="B70" s="42">
        <v>1</v>
      </c>
      <c r="C70" s="40" t="s">
        <v>10</v>
      </c>
    </row>
    <row r="71" spans="1:3" x14ac:dyDescent="0.2">
      <c r="A71" s="40" t="s">
        <v>130</v>
      </c>
      <c r="B71" s="42">
        <v>55</v>
      </c>
      <c r="C71" s="40" t="s">
        <v>120</v>
      </c>
    </row>
    <row r="72" spans="1:3" x14ac:dyDescent="0.2">
      <c r="A72" s="40" t="s">
        <v>127</v>
      </c>
      <c r="B72" s="42">
        <v>5</v>
      </c>
      <c r="C72" s="40" t="s">
        <v>121</v>
      </c>
    </row>
    <row r="73" spans="1:3" x14ac:dyDescent="0.2">
      <c r="A73" s="40" t="s">
        <v>131</v>
      </c>
      <c r="B73" s="42">
        <v>5</v>
      </c>
      <c r="C73" s="40" t="s">
        <v>204</v>
      </c>
    </row>
    <row r="74" spans="1:3" ht="15" x14ac:dyDescent="0.2">
      <c r="A74" s="430" t="s">
        <v>182</v>
      </c>
      <c r="B74" s="430"/>
      <c r="C74" s="430"/>
    </row>
    <row r="75" spans="1:3" x14ac:dyDescent="0.2">
      <c r="A75" s="40" t="s">
        <v>13</v>
      </c>
      <c r="B75" s="166">
        <v>55</v>
      </c>
      <c r="C75" s="40" t="s">
        <v>202</v>
      </c>
    </row>
    <row r="76" spans="1:3" x14ac:dyDescent="0.2">
      <c r="A76" s="40" t="s">
        <v>122</v>
      </c>
      <c r="B76" s="42">
        <v>5</v>
      </c>
      <c r="C76" s="40" t="s">
        <v>203</v>
      </c>
    </row>
    <row r="77" spans="1:3" x14ac:dyDescent="0.2">
      <c r="A77" s="40" t="s">
        <v>123</v>
      </c>
      <c r="B77" s="42">
        <v>5</v>
      </c>
      <c r="C77" s="40" t="s">
        <v>203</v>
      </c>
    </row>
    <row r="78" spans="1:3" x14ac:dyDescent="0.2">
      <c r="A78" s="40" t="s">
        <v>124</v>
      </c>
      <c r="B78" s="42">
        <v>5</v>
      </c>
      <c r="C78" s="40" t="s">
        <v>203</v>
      </c>
    </row>
    <row r="79" spans="1:3" x14ac:dyDescent="0.2">
      <c r="A79" s="40" t="s">
        <v>15</v>
      </c>
      <c r="B79" s="42">
        <v>1</v>
      </c>
      <c r="C79" s="40" t="s">
        <v>10</v>
      </c>
    </row>
    <row r="80" spans="1:3" x14ac:dyDescent="0.2">
      <c r="A80" s="40" t="s">
        <v>17</v>
      </c>
      <c r="B80" s="42">
        <v>55</v>
      </c>
      <c r="C80" s="40" t="s">
        <v>120</v>
      </c>
    </row>
    <row r="81" spans="1:3" x14ac:dyDescent="0.2">
      <c r="A81" s="40" t="s">
        <v>12</v>
      </c>
      <c r="B81" s="42">
        <v>5</v>
      </c>
      <c r="C81" s="40" t="s">
        <v>121</v>
      </c>
    </row>
    <row r="82" spans="1:3" x14ac:dyDescent="0.2">
      <c r="A82" s="40" t="s">
        <v>18</v>
      </c>
      <c r="B82" s="42">
        <v>5</v>
      </c>
      <c r="C82" s="40" t="s">
        <v>204</v>
      </c>
    </row>
  </sheetData>
  <mergeCells count="18">
    <mergeCell ref="A74:C74"/>
    <mergeCell ref="D1:F1"/>
    <mergeCell ref="G1:I1"/>
    <mergeCell ref="J1:L1"/>
    <mergeCell ref="A34:C34"/>
    <mergeCell ref="A56:C56"/>
    <mergeCell ref="A2:C5"/>
    <mergeCell ref="AE1:AG1"/>
    <mergeCell ref="A65:C65"/>
    <mergeCell ref="AH1:AJ1"/>
    <mergeCell ref="AK1:AM1"/>
    <mergeCell ref="A1:C1"/>
    <mergeCell ref="P1:R1"/>
    <mergeCell ref="S1:U1"/>
    <mergeCell ref="V1:X1"/>
    <mergeCell ref="Y1:AA1"/>
    <mergeCell ref="AB1:AD1"/>
    <mergeCell ref="M1:O1"/>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06"/>
  <sheetViews>
    <sheetView zoomScale="80" zoomScaleNormal="80" workbookViewId="0">
      <pane xSplit="3" ySplit="1" topLeftCell="D2" activePane="bottomRight" state="frozen"/>
      <selection pane="topRight" activeCell="D1" sqref="D1"/>
      <selection pane="bottomLeft" activeCell="A2" sqref="A2"/>
      <selection pane="bottomRight" sqref="A1:C1"/>
    </sheetView>
  </sheetViews>
  <sheetFormatPr defaultRowHeight="12.75" x14ac:dyDescent="0.2"/>
  <cols>
    <col min="1" max="1" width="13.7109375" bestFit="1" customWidth="1"/>
    <col min="2" max="2" width="9.28515625" bestFit="1" customWidth="1"/>
    <col min="3" max="3" width="21" bestFit="1" customWidth="1"/>
    <col min="4" max="4" width="12.28515625" style="28" bestFit="1" customWidth="1"/>
    <col min="5" max="5" width="9.28515625" style="32" bestFit="1" customWidth="1"/>
    <col min="6" max="6" width="20.5703125" style="28" bestFit="1" customWidth="1"/>
    <col min="7" max="7" width="13.7109375" bestFit="1" customWidth="1"/>
    <col min="8" max="8" width="9.28515625" bestFit="1" customWidth="1"/>
    <col min="9" max="9" width="21" bestFit="1" customWidth="1"/>
    <col min="10" max="10" width="13.7109375" bestFit="1" customWidth="1"/>
    <col min="11" max="11" width="9.28515625" bestFit="1" customWidth="1"/>
    <col min="12" max="12" width="21" bestFit="1" customWidth="1"/>
    <col min="13" max="13" width="12.28515625" style="28" bestFit="1" customWidth="1"/>
    <col min="14" max="14" width="9.28515625" style="32" bestFit="1" customWidth="1"/>
    <col min="15" max="15" width="20.5703125" style="28" bestFit="1" customWidth="1"/>
    <col min="16" max="16" width="13.7109375" bestFit="1" customWidth="1"/>
    <col min="17" max="17" width="9.28515625" bestFit="1" customWidth="1"/>
    <col min="18" max="18" width="21" bestFit="1" customWidth="1"/>
    <col min="19" max="19" width="13.7109375" bestFit="1" customWidth="1"/>
    <col min="20" max="20" width="9.28515625" bestFit="1" customWidth="1"/>
    <col min="21" max="21" width="21" bestFit="1" customWidth="1"/>
    <col min="22" max="22" width="12.28515625" style="28" bestFit="1" customWidth="1"/>
    <col min="23" max="23" width="9.28515625" style="28" bestFit="1" customWidth="1"/>
    <col min="24" max="24" width="20.5703125" style="28" bestFit="1" customWidth="1"/>
    <col min="25" max="25" width="13.7109375" bestFit="1" customWidth="1"/>
    <col min="26" max="26" width="9.28515625" bestFit="1" customWidth="1"/>
    <col min="27" max="27" width="21" bestFit="1" customWidth="1"/>
    <col min="28" max="28" width="13.7109375" bestFit="1" customWidth="1"/>
    <col min="29" max="29" width="9.28515625" bestFit="1" customWidth="1"/>
    <col min="30" max="30" width="21" bestFit="1" customWidth="1"/>
    <col min="31" max="31" width="12.28515625" style="28" bestFit="1" customWidth="1"/>
    <col min="32" max="32" width="9.28515625" style="32" bestFit="1" customWidth="1"/>
    <col min="33" max="33" width="20.5703125" style="28" bestFit="1" customWidth="1"/>
    <col min="34" max="34" width="13.7109375" bestFit="1" customWidth="1"/>
    <col min="35" max="35" width="9.28515625" bestFit="1" customWidth="1"/>
    <col min="36" max="36" width="21" bestFit="1" customWidth="1"/>
    <col min="37" max="37" width="13.7109375" bestFit="1" customWidth="1"/>
    <col min="38" max="38" width="13" bestFit="1" customWidth="1"/>
    <col min="39" max="39" width="21" bestFit="1" customWidth="1"/>
  </cols>
  <sheetData>
    <row r="1" spans="1:39" ht="21.75" thickTop="1" thickBot="1" x14ac:dyDescent="0.3">
      <c r="A1" s="381" t="s">
        <v>4</v>
      </c>
      <c r="B1" s="382"/>
      <c r="C1" s="383"/>
      <c r="D1" s="431" t="s">
        <v>171</v>
      </c>
      <c r="E1" s="432"/>
      <c r="F1" s="433"/>
      <c r="G1" s="434" t="s">
        <v>187</v>
      </c>
      <c r="H1" s="432"/>
      <c r="I1" s="433"/>
      <c r="J1" s="434" t="s">
        <v>188</v>
      </c>
      <c r="K1" s="432"/>
      <c r="L1" s="433"/>
      <c r="M1" s="420" t="s">
        <v>172</v>
      </c>
      <c r="N1" s="421"/>
      <c r="O1" s="422"/>
      <c r="P1" s="420" t="s">
        <v>189</v>
      </c>
      <c r="Q1" s="421"/>
      <c r="R1" s="422"/>
      <c r="S1" s="420" t="s">
        <v>168</v>
      </c>
      <c r="T1" s="421"/>
      <c r="U1" s="422"/>
      <c r="V1" s="423" t="s">
        <v>173</v>
      </c>
      <c r="W1" s="424"/>
      <c r="X1" s="425"/>
      <c r="Y1" s="423" t="s">
        <v>190</v>
      </c>
      <c r="Z1" s="424"/>
      <c r="AA1" s="425"/>
      <c r="AB1" s="423" t="s">
        <v>169</v>
      </c>
      <c r="AC1" s="424"/>
      <c r="AD1" s="425"/>
      <c r="AE1" s="417" t="s">
        <v>174</v>
      </c>
      <c r="AF1" s="418"/>
      <c r="AG1" s="419"/>
      <c r="AH1" s="417" t="s">
        <v>191</v>
      </c>
      <c r="AI1" s="418"/>
      <c r="AJ1" s="419"/>
      <c r="AK1" s="417" t="s">
        <v>170</v>
      </c>
      <c r="AL1" s="418"/>
      <c r="AM1" s="419"/>
    </row>
    <row r="2" spans="1:39" s="1" customFormat="1" ht="15" thickTop="1" x14ac:dyDescent="0.2">
      <c r="A2" s="384" t="s">
        <v>112</v>
      </c>
      <c r="B2" s="385"/>
      <c r="C2" s="386"/>
      <c r="D2" s="318" t="s">
        <v>175</v>
      </c>
      <c r="E2" s="325">
        <f>1/((1/E17)+(1/E18)+(1/E20))</f>
        <v>0.20423960964852325</v>
      </c>
      <c r="F2" s="273" t="s">
        <v>176</v>
      </c>
      <c r="G2" s="84" t="s">
        <v>82</v>
      </c>
      <c r="H2" s="232">
        <f>(H17*H18*H19)/(H20*H22*H35*H33*H34*H37*H27*(1/365)*((H32*H30)+(H36*H29))*(1/24))</f>
        <v>0.21193267638927227</v>
      </c>
      <c r="I2" s="49" t="s">
        <v>108</v>
      </c>
      <c r="J2" s="84" t="s">
        <v>82</v>
      </c>
      <c r="K2" s="232">
        <f>(K17*K18*K19)/(K20*K22*K35*K33*K34*K37*K27*(1/365)*((K32*K30)+(K36*K29))*(1/24))</f>
        <v>0.34008772358163381</v>
      </c>
      <c r="L2" s="49" t="s">
        <v>108</v>
      </c>
      <c r="M2" s="319" t="s">
        <v>175</v>
      </c>
      <c r="N2" s="327">
        <f>1/((1/N17)+(1/N18)+(1/N20))</f>
        <v>0.11758586539165822</v>
      </c>
      <c r="O2" s="266" t="s">
        <v>176</v>
      </c>
      <c r="P2" s="91" t="s">
        <v>82</v>
      </c>
      <c r="Q2" s="229">
        <f>(Q17*Q18*Q19)/(Q20*Q22*Q30*Q35*Q33*Q34*Q37*Q32*(1/24)*Q27*(1/365))</f>
        <v>0.21193267638927227</v>
      </c>
      <c r="R2" s="92" t="s">
        <v>108</v>
      </c>
      <c r="S2" s="91" t="s">
        <v>82</v>
      </c>
      <c r="T2" s="229">
        <f>(T17*T18*T19)/(T20*T22*T35*T33*T34*T37*T27*(1/365)*T30*T32*(1/24))</f>
        <v>0.34008772358163381</v>
      </c>
      <c r="U2" s="92" t="s">
        <v>108</v>
      </c>
      <c r="V2" s="320" t="s">
        <v>175</v>
      </c>
      <c r="W2" s="307">
        <f>1/((1/W17)+(1/W18)+(1/W20))</f>
        <v>0.11758586539165822</v>
      </c>
      <c r="X2" s="278" t="s">
        <v>176</v>
      </c>
      <c r="Y2" s="75" t="s">
        <v>82</v>
      </c>
      <c r="Z2" s="223">
        <f>(Z17*Z18*Z19)/(Z20*Z22*Z30*Z35*Z33*Z34*Z37*Z32*(1/24)*Z27*(1/365))</f>
        <v>0.21193267638927227</v>
      </c>
      <c r="AA2" s="76" t="s">
        <v>108</v>
      </c>
      <c r="AB2" s="75" t="s">
        <v>82</v>
      </c>
      <c r="AC2" s="223">
        <f>(AC17*AC18*AC19)/(AC20*AC22*AC35*AC33*AC34*AC37*AC27*(1/365)*AC30*AC32*(1/24))</f>
        <v>0.34008772358163381</v>
      </c>
      <c r="AD2" s="76" t="s">
        <v>108</v>
      </c>
      <c r="AE2" s="321" t="s">
        <v>175</v>
      </c>
      <c r="AF2" s="326">
        <f>1/((1/AF17)+(1/AF18)+(1/AF20))</f>
        <v>9.4291115935376674E-3</v>
      </c>
      <c r="AG2" s="269" t="s">
        <v>176</v>
      </c>
      <c r="AH2" s="175" t="s">
        <v>82</v>
      </c>
      <c r="AI2" s="226">
        <f>(AI17*AI18*AI19)/(AI20*AI22*AI30*AI35*AI33*AI34*AI37*AI32*(1/24)*AI27*(1/365))</f>
        <v>1.412884509261815</v>
      </c>
      <c r="AJ2" s="50" t="s">
        <v>108</v>
      </c>
      <c r="AK2" s="175" t="s">
        <v>82</v>
      </c>
      <c r="AL2" s="226">
        <f>(AL17*AL18*AL19)/(AL20*AL22*AL35*AL33*AL34*AL37*AL27*(1/365)*AL30*AL32*(1/24))</f>
        <v>2.2672514905442256</v>
      </c>
      <c r="AM2" s="50" t="s">
        <v>108</v>
      </c>
    </row>
    <row r="3" spans="1:39" s="1" customFormat="1" ht="15" thickBot="1" x14ac:dyDescent="0.25">
      <c r="A3" s="387"/>
      <c r="B3" s="388"/>
      <c r="C3" s="389"/>
      <c r="D3" s="272" t="s">
        <v>177</v>
      </c>
      <c r="E3" s="304">
        <f>1/((1/E17)+(1/E19)+(1/E20))</f>
        <v>0.25609403580133305</v>
      </c>
      <c r="F3" s="270" t="s">
        <v>176</v>
      </c>
      <c r="G3" s="85" t="s">
        <v>83</v>
      </c>
      <c r="H3" s="233">
        <f>(H17*H18*H19)/(H20*H23*H35*H33*H34*H37*H27*(1/365)*((H32*H30)+(H36*H29))*(1/24))</f>
        <v>1.0567587081364767</v>
      </c>
      <c r="I3" s="86" t="s">
        <v>110</v>
      </c>
      <c r="J3" s="85" t="s">
        <v>83</v>
      </c>
      <c r="K3" s="233">
        <f>(K17*K18*K19)/(K20*K23*K35*K33*K34*K38*K27*(1/365)*((K32*K30)+(K36*K29))*(1/24))</f>
        <v>2.7067843324810337</v>
      </c>
      <c r="L3" s="86" t="s">
        <v>110</v>
      </c>
      <c r="M3" s="265" t="s">
        <v>177</v>
      </c>
      <c r="N3" s="308">
        <f>1/((1/N17)+(1/N19)+(1/N20))</f>
        <v>0.50019808186516246</v>
      </c>
      <c r="O3" s="260" t="s">
        <v>176</v>
      </c>
      <c r="P3" s="93" t="s">
        <v>83</v>
      </c>
      <c r="Q3" s="230">
        <f>(Q17*Q18*Q19)/(Q20*Q23*Q30*Q35*Q33*Q34*Q37*Q32*(1/24)*Q27*(1/365))</f>
        <v>1.0567587081364769</v>
      </c>
      <c r="R3" s="94" t="s">
        <v>110</v>
      </c>
      <c r="S3" s="93" t="s">
        <v>83</v>
      </c>
      <c r="T3" s="230">
        <f>(T17*T18*T19)/(T20*T23*T30*T35*T33*T34*T38*T32*(1/24)*T27*(1/365))</f>
        <v>2.7067843324810341</v>
      </c>
      <c r="U3" s="94" t="s">
        <v>110</v>
      </c>
      <c r="V3" s="277" t="s">
        <v>177</v>
      </c>
      <c r="W3" s="306">
        <f>1/((1/W17)+(1/W19)+(1/W20))</f>
        <v>0.50019808186516246</v>
      </c>
      <c r="X3" s="275" t="s">
        <v>176</v>
      </c>
      <c r="Y3" s="77" t="s">
        <v>83</v>
      </c>
      <c r="Z3" s="224">
        <f>(Z17*Z18*Z19)/(Z20*Z23*Z30*Z35*Z33*Z34*Z37*Z32*(1/24)*Z27*(1/365))</f>
        <v>1.0567587081364769</v>
      </c>
      <c r="AA3" s="78" t="s">
        <v>110</v>
      </c>
      <c r="AB3" s="77" t="s">
        <v>83</v>
      </c>
      <c r="AC3" s="224">
        <f>(AC17*AC18*AC19)/(AC20*AC23*AC30*AC35*AC33*AC34*AC38*AC32*(1/24)*AC27*(1/365))</f>
        <v>2.7067843324810341</v>
      </c>
      <c r="AD3" s="78" t="s">
        <v>110</v>
      </c>
      <c r="AE3" s="268" t="s">
        <v>177</v>
      </c>
      <c r="AF3" s="309">
        <f>1/((1/AF17)+(1/AF19)+(1/AF20))</f>
        <v>0.53516513441425106</v>
      </c>
      <c r="AG3" s="262" t="s">
        <v>176</v>
      </c>
      <c r="AH3" s="176" t="s">
        <v>83</v>
      </c>
      <c r="AI3" s="227">
        <f>(AI17*AI18*AI19)/(AI20*AI23*AI30*AI35*AI33*AI34*AI37*AI32*(1/24)*AI27*(1/365))</f>
        <v>7.045058054243178</v>
      </c>
      <c r="AJ3" s="177" t="s">
        <v>110</v>
      </c>
      <c r="AK3" s="176" t="s">
        <v>83</v>
      </c>
      <c r="AL3" s="227">
        <f>(AL17*AL18*AL19)/(AL20*AL23*AL30*AL35*AL33*AL34*AL38*AL32*(1/24)*AL27*(1/365))</f>
        <v>18.045228883206892</v>
      </c>
      <c r="AM3" s="177" t="s">
        <v>110</v>
      </c>
    </row>
    <row r="4" spans="1:39" s="1" customFormat="1" ht="14.25" x14ac:dyDescent="0.2">
      <c r="A4" s="387"/>
      <c r="B4" s="388"/>
      <c r="C4" s="389"/>
      <c r="D4" s="271" t="s">
        <v>175</v>
      </c>
      <c r="E4" s="322">
        <f>E2/E51</f>
        <v>7.5568655569953676E-3</v>
      </c>
      <c r="F4" s="273" t="s">
        <v>178</v>
      </c>
      <c r="G4" s="85" t="s">
        <v>84</v>
      </c>
      <c r="H4" s="233">
        <f>(H17*H18*H19)/(H20*H24*H35*H33*H34*H37*H27*(1/365)*((H32*H30)+(H36*H29))*(1/24))</f>
        <v>1.0658966959578104</v>
      </c>
      <c r="I4" s="86" t="s">
        <v>109</v>
      </c>
      <c r="J4" s="85" t="s">
        <v>84</v>
      </c>
      <c r="K4" s="233">
        <f>(K17*K18*K19)/(K20*K24*K35*K33*K34*K39*K27*(1/365)*((K32*K30)+(K36*K29))*(1/24))</f>
        <v>1.9437517529597865</v>
      </c>
      <c r="L4" s="86" t="s">
        <v>109</v>
      </c>
      <c r="M4" s="264" t="s">
        <v>175</v>
      </c>
      <c r="N4" s="324">
        <f>N2/N41</f>
        <v>4.350677019491358E-3</v>
      </c>
      <c r="O4" s="266" t="s">
        <v>178</v>
      </c>
      <c r="P4" s="93" t="s">
        <v>84</v>
      </c>
      <c r="Q4" s="230">
        <f>(Q17*Q18*Q19)/(Q20*Q24*Q30*Q35*Q33*Q34*Q37*Q32*(1/24)*Q27*(1/365))</f>
        <v>1.0658966959578107</v>
      </c>
      <c r="R4" s="94" t="s">
        <v>109</v>
      </c>
      <c r="S4" s="93" t="s">
        <v>84</v>
      </c>
      <c r="T4" s="230">
        <f>(T17*T18*T19)/(T20*T24*T30*T35*T33*T34*T39*T32*(1/24)*T27*(1/365))</f>
        <v>1.9437517529597861</v>
      </c>
      <c r="U4" s="94" t="s">
        <v>109</v>
      </c>
      <c r="V4" s="276" t="s">
        <v>175</v>
      </c>
      <c r="W4" s="305">
        <f>W2/W41</f>
        <v>4.350677019491358E-3</v>
      </c>
      <c r="X4" s="278" t="s">
        <v>178</v>
      </c>
      <c r="Y4" s="77" t="s">
        <v>84</v>
      </c>
      <c r="Z4" s="224">
        <f>(Z17*Z18*Z19)/(Z20*Z24*Z30*Z35*Z33*Z34*Z37*Z32*(1/24)*Z27*(1/365))</f>
        <v>1.0658966959578107</v>
      </c>
      <c r="AA4" s="78" t="s">
        <v>109</v>
      </c>
      <c r="AB4" s="77" t="s">
        <v>84</v>
      </c>
      <c r="AC4" s="224">
        <f>(AC17*AC18*AC19)/(AC20*AC24*AC30*AC35*AC33*AC34*AC39*AC32*(1/24)*AC27*(1/365))</f>
        <v>1.9437517529597861</v>
      </c>
      <c r="AD4" s="78" t="s">
        <v>109</v>
      </c>
      <c r="AE4" s="267" t="s">
        <v>175</v>
      </c>
      <c r="AF4" s="323">
        <f>AF2/AF41</f>
        <v>3.4887712896089403E-4</v>
      </c>
      <c r="AG4" s="269" t="s">
        <v>178</v>
      </c>
      <c r="AH4" s="176" t="s">
        <v>84</v>
      </c>
      <c r="AI4" s="227">
        <f>(AI17*AI18*AI19)/(AI20*AI24*AI30*AI35*AI33*AI34*AI37*AI32*(1/24)*AI27*(1/365))</f>
        <v>7.1059779730520711</v>
      </c>
      <c r="AJ4" s="177" t="s">
        <v>109</v>
      </c>
      <c r="AK4" s="176" t="s">
        <v>84</v>
      </c>
      <c r="AL4" s="227">
        <f>(AL17*AL18*AL19)/(AL20*AL24*AL30*AL35*AL33*AL34*AL39*AL32*(1/24)*AL27*(1/365))</f>
        <v>12.95834501973191</v>
      </c>
      <c r="AM4" s="177" t="s">
        <v>109</v>
      </c>
    </row>
    <row r="5" spans="1:39" s="1" customFormat="1" ht="15" thickBot="1" x14ac:dyDescent="0.25">
      <c r="A5" s="390"/>
      <c r="B5" s="391"/>
      <c r="C5" s="392"/>
      <c r="D5" s="272" t="s">
        <v>177</v>
      </c>
      <c r="E5" s="304">
        <f>E3/E51</f>
        <v>9.4754793246493319E-3</v>
      </c>
      <c r="F5" s="274" t="s">
        <v>178</v>
      </c>
      <c r="G5" s="85" t="s">
        <v>85</v>
      </c>
      <c r="H5" s="233">
        <f>(H17*H18*H19)/(H20*H25*H35*H33*H34*H37*H27*(1/365)*((H32*H30)+(H36*H29))*(1/24))</f>
        <v>0.37246133260601816</v>
      </c>
      <c r="I5" s="86" t="s">
        <v>109</v>
      </c>
      <c r="J5" s="85" t="s">
        <v>85</v>
      </c>
      <c r="K5" s="233">
        <f>(K17*K18*K19)/(K20*K25*K35*K33*K34*K40*K27*(1/365)*((K32*K30)+(K36*K29))*(1/24))</f>
        <v>0.61027508597747848</v>
      </c>
      <c r="L5" s="86" t="s">
        <v>109</v>
      </c>
      <c r="M5" s="265" t="s">
        <v>177</v>
      </c>
      <c r="N5" s="308">
        <f>N3/N41</f>
        <v>1.8507329029011029E-2</v>
      </c>
      <c r="O5" s="261" t="s">
        <v>178</v>
      </c>
      <c r="P5" s="93" t="s">
        <v>85</v>
      </c>
      <c r="Q5" s="230">
        <f>(Q17*Q18*Q19)/(Q20*Q25*Q30*Q35*Q33*Q34*Q37*Q32*(1/24)*Q27*(1/365))</f>
        <v>0.3724613326060181</v>
      </c>
      <c r="R5" s="94" t="s">
        <v>109</v>
      </c>
      <c r="S5" s="93" t="s">
        <v>85</v>
      </c>
      <c r="T5" s="230">
        <f>(T17*T18*T19)/(T20*T25*T30*T35*T33*T34*T40*T32*(1/24)*T27*(1/365))</f>
        <v>0.61027508597747848</v>
      </c>
      <c r="U5" s="94" t="s">
        <v>109</v>
      </c>
      <c r="V5" s="277" t="s">
        <v>177</v>
      </c>
      <c r="W5" s="306">
        <f>W3/W41</f>
        <v>1.8507329029011029E-2</v>
      </c>
      <c r="X5" s="279" t="s">
        <v>178</v>
      </c>
      <c r="Y5" s="77" t="s">
        <v>85</v>
      </c>
      <c r="Z5" s="224">
        <f>(Z17*Z18*Z19)/(Z20*Z25*Z30*Z35*Z33*Z34*Z37*Z32*(1/24)*Z27*(1/365))</f>
        <v>0.3724613326060181</v>
      </c>
      <c r="AA5" s="78" t="s">
        <v>109</v>
      </c>
      <c r="AB5" s="77" t="s">
        <v>85</v>
      </c>
      <c r="AC5" s="224">
        <f>(AC17*AC18*AC19)/(AC20*AC25*AC30*AC35*AC33*AC34*AC40*AC32*(1/24)*AC27*(1/365))</f>
        <v>0.61027508597747848</v>
      </c>
      <c r="AD5" s="78" t="s">
        <v>109</v>
      </c>
      <c r="AE5" s="268" t="s">
        <v>177</v>
      </c>
      <c r="AF5" s="309">
        <f>AF3/AF41</f>
        <v>1.9801109973327308E-2</v>
      </c>
      <c r="AG5" s="263" t="s">
        <v>178</v>
      </c>
      <c r="AH5" s="176" t="s">
        <v>85</v>
      </c>
      <c r="AI5" s="227">
        <f>(AI17*AI18*AI19)/(AI20*AI25*AI30*AI35*AI33*AI34*AI37*AI32*(1/24)*AI27*(1/365))</f>
        <v>2.4830755507067868</v>
      </c>
      <c r="AJ5" s="177" t="s">
        <v>109</v>
      </c>
      <c r="AK5" s="176" t="s">
        <v>85</v>
      </c>
      <c r="AL5" s="227">
        <f>(AL17*AL18*AL19)/(AL20*AL25*AL30*AL35*AL33*AL34*AL40*AL32*(1/24)*AL27*(1/365))</f>
        <v>4.0685005731831891</v>
      </c>
      <c r="AM5" s="177" t="s">
        <v>109</v>
      </c>
    </row>
    <row r="6" spans="1:39" s="1" customFormat="1" ht="15.75" thickTop="1" thickBot="1" x14ac:dyDescent="0.25">
      <c r="A6" s="28" t="s">
        <v>21</v>
      </c>
      <c r="B6" s="55">
        <v>1</v>
      </c>
      <c r="C6" s="28" t="s">
        <v>138</v>
      </c>
      <c r="D6" s="271" t="s">
        <v>175</v>
      </c>
      <c r="E6" s="322">
        <f>E2*E13*E50*E52</f>
        <v>2.3503894278352061E-12</v>
      </c>
      <c r="F6" s="273" t="s">
        <v>179</v>
      </c>
      <c r="G6" s="87" t="s">
        <v>86</v>
      </c>
      <c r="H6" s="234">
        <f>(H17*H18*H19)/(H20*H26*H35*H33*H34*H37*H27*(1/365)*((H32*H30)+(H36*H29))*(1/24))</f>
        <v>0.23842426093793137</v>
      </c>
      <c r="I6" s="48" t="s">
        <v>109</v>
      </c>
      <c r="J6" s="87" t="s">
        <v>86</v>
      </c>
      <c r="K6" s="234">
        <f>(K17*K18*K19)/(K20*K26*K35*K33*K34*K41*K27*(1/365)*((K32*K30)+(K36*K29))*(1/24))</f>
        <v>0.38524110859072008</v>
      </c>
      <c r="L6" s="48" t="s">
        <v>109</v>
      </c>
      <c r="M6" s="264" t="s">
        <v>175</v>
      </c>
      <c r="N6" s="324">
        <f>N2*N13*N40*N42</f>
        <v>1.3531781389272028E-12</v>
      </c>
      <c r="O6" s="266" t="s">
        <v>179</v>
      </c>
      <c r="P6" s="95" t="s">
        <v>86</v>
      </c>
      <c r="Q6" s="231">
        <f>(Q17*Q18*Q19)/(Q20*Q26*Q30*Q35*Q33*Q34*Q37*Q32*(1/24)*Q27*(1/365))</f>
        <v>0.23842426093793131</v>
      </c>
      <c r="R6" s="96" t="s">
        <v>109</v>
      </c>
      <c r="S6" s="95" t="s">
        <v>86</v>
      </c>
      <c r="T6" s="231">
        <f>(T17*T18*T19)/(T20*T26*T30*T35*T33*T34*T41*T32*(1/24)*T27*(1/365))</f>
        <v>0.38524110859072008</v>
      </c>
      <c r="U6" s="96" t="s">
        <v>109</v>
      </c>
      <c r="V6" s="276" t="s">
        <v>175</v>
      </c>
      <c r="W6" s="305">
        <f>W2*W13*W40*W42</f>
        <v>1.3531781389272028E-12</v>
      </c>
      <c r="X6" s="278" t="s">
        <v>179</v>
      </c>
      <c r="Y6" s="79" t="s">
        <v>86</v>
      </c>
      <c r="Z6" s="225">
        <f>(Z17*Z18*Z19)/(Z20*Z26*Z30*Z35*Z33*Z34*Z37*Z32*(1/24)*Z27*(1/365))</f>
        <v>0.23842426093793131</v>
      </c>
      <c r="AA6" s="80" t="s">
        <v>109</v>
      </c>
      <c r="AB6" s="79" t="s">
        <v>86</v>
      </c>
      <c r="AC6" s="225">
        <f>(AC17*AC18*AC19)/(AC20*AC26*AC30*AC35*AC33*AC34*AC41*AC32*(1/24)*AC27*(1/365))</f>
        <v>0.38524110859072008</v>
      </c>
      <c r="AD6" s="80" t="s">
        <v>109</v>
      </c>
      <c r="AE6" s="267" t="s">
        <v>175</v>
      </c>
      <c r="AF6" s="323">
        <f>AF2*AF13*AF40*AF42</f>
        <v>1.0851021621843149E-13</v>
      </c>
      <c r="AG6" s="269" t="s">
        <v>179</v>
      </c>
      <c r="AH6" s="178" t="s">
        <v>86</v>
      </c>
      <c r="AI6" s="228">
        <f>(AI17*AI18*AI19)/(AI20*AI26*AI30*AI35*AI33*AI34*AI37*AI32*(1/24)*AI27*(1/365))</f>
        <v>1.5894950729195418</v>
      </c>
      <c r="AJ6" s="179" t="s">
        <v>109</v>
      </c>
      <c r="AK6" s="178" t="s">
        <v>86</v>
      </c>
      <c r="AL6" s="228">
        <f>(AL17*AL18*AL19)/(AL20*AL26*AL30*AL35*AL33*AL34*AL41*AL32*(1/24)*AL27*(1/365))</f>
        <v>2.5682740572714673</v>
      </c>
      <c r="AM6" s="179" t="s">
        <v>109</v>
      </c>
    </row>
    <row r="7" spans="1:39" s="1" customFormat="1" ht="15" thickBot="1" x14ac:dyDescent="0.25">
      <c r="A7" s="38" t="s">
        <v>22</v>
      </c>
      <c r="B7" s="191">
        <v>1.5417408700798101E-4</v>
      </c>
      <c r="C7" s="40" t="s">
        <v>11</v>
      </c>
      <c r="D7" s="272" t="s">
        <v>177</v>
      </c>
      <c r="E7" s="304">
        <f>E3*E13*E50*E52</f>
        <v>2.9471301640017406E-12</v>
      </c>
      <c r="F7" s="274" t="s">
        <v>179</v>
      </c>
      <c r="G7" s="84" t="s">
        <v>82</v>
      </c>
      <c r="H7" s="232">
        <f>H2/H42</f>
        <v>7.8415090264030811E-3</v>
      </c>
      <c r="I7" s="49" t="s">
        <v>105</v>
      </c>
      <c r="J7" s="84" t="s">
        <v>82</v>
      </c>
      <c r="K7" s="232">
        <f>K2/K42</f>
        <v>1.2583245772520464E-2</v>
      </c>
      <c r="L7" s="49" t="s">
        <v>105</v>
      </c>
      <c r="M7" s="265" t="s">
        <v>177</v>
      </c>
      <c r="N7" s="308">
        <f>N3*N13*N40*N42</f>
        <v>5.7562795261042901E-12</v>
      </c>
      <c r="O7" s="261" t="s">
        <v>179</v>
      </c>
      <c r="P7" s="91" t="s">
        <v>82</v>
      </c>
      <c r="Q7" s="229">
        <f>Q2/Q42</f>
        <v>7.8415090264030811E-3</v>
      </c>
      <c r="R7" s="92" t="s">
        <v>105</v>
      </c>
      <c r="S7" s="91" t="s">
        <v>82</v>
      </c>
      <c r="T7" s="229">
        <f>T2/T42</f>
        <v>1.2583245772520464E-2</v>
      </c>
      <c r="U7" s="92" t="s">
        <v>105</v>
      </c>
      <c r="V7" s="277" t="s">
        <v>177</v>
      </c>
      <c r="W7" s="306">
        <f>W3*W13*W40*W42</f>
        <v>5.7562795261042901E-12</v>
      </c>
      <c r="X7" s="279" t="s">
        <v>179</v>
      </c>
      <c r="Y7" s="75" t="s">
        <v>82</v>
      </c>
      <c r="Z7" s="223">
        <f>Z2/Z42</f>
        <v>7.8415090264030811E-3</v>
      </c>
      <c r="AA7" s="76" t="s">
        <v>105</v>
      </c>
      <c r="AB7" s="75" t="s">
        <v>82</v>
      </c>
      <c r="AC7" s="223">
        <f>AC2/AC42</f>
        <v>1.2583245772520464E-2</v>
      </c>
      <c r="AD7" s="76" t="s">
        <v>105</v>
      </c>
      <c r="AE7" s="268" t="s">
        <v>177</v>
      </c>
      <c r="AF7" s="309">
        <f>AF3*AF13*AF40*AF42</f>
        <v>6.1586803668392004E-12</v>
      </c>
      <c r="AG7" s="263" t="s">
        <v>179</v>
      </c>
      <c r="AH7" s="175" t="s">
        <v>82</v>
      </c>
      <c r="AI7" s="226">
        <f>AI2/AI42</f>
        <v>5.2276726842687207E-2</v>
      </c>
      <c r="AJ7" s="50" t="s">
        <v>105</v>
      </c>
      <c r="AK7" s="175" t="s">
        <v>82</v>
      </c>
      <c r="AL7" s="226">
        <f>AL2/AL42</f>
        <v>8.3888305150136427E-2</v>
      </c>
      <c r="AM7" s="50" t="s">
        <v>105</v>
      </c>
    </row>
    <row r="8" spans="1:39" s="1" customFormat="1" ht="14.25" x14ac:dyDescent="0.2">
      <c r="A8" s="38" t="s">
        <v>209</v>
      </c>
      <c r="B8" s="151">
        <v>4.9109405245458101E-5</v>
      </c>
      <c r="C8" s="38" t="s">
        <v>11</v>
      </c>
      <c r="D8" s="28" t="s">
        <v>21</v>
      </c>
      <c r="E8" s="32">
        <f>B6</f>
        <v>1</v>
      </c>
      <c r="F8" s="28" t="s">
        <v>138</v>
      </c>
      <c r="G8" s="85" t="s">
        <v>83</v>
      </c>
      <c r="H8" s="233">
        <f>H3/H42</f>
        <v>3.9100072201049677E-2</v>
      </c>
      <c r="I8" s="86" t="s">
        <v>106</v>
      </c>
      <c r="J8" s="85" t="s">
        <v>83</v>
      </c>
      <c r="K8" s="233">
        <f>K3/K42</f>
        <v>0.10015102030179834</v>
      </c>
      <c r="L8" s="86" t="s">
        <v>106</v>
      </c>
      <c r="M8" s="28" t="s">
        <v>21</v>
      </c>
      <c r="N8" s="32">
        <f>B6</f>
        <v>1</v>
      </c>
      <c r="O8" s="28" t="s">
        <v>138</v>
      </c>
      <c r="P8" s="93" t="s">
        <v>83</v>
      </c>
      <c r="Q8" s="230">
        <f>Q3/Q42</f>
        <v>3.9100072201049683E-2</v>
      </c>
      <c r="R8" s="94" t="s">
        <v>106</v>
      </c>
      <c r="S8" s="93" t="s">
        <v>83</v>
      </c>
      <c r="T8" s="230">
        <f>T3/T42</f>
        <v>0.10015102030179836</v>
      </c>
      <c r="U8" s="94" t="s">
        <v>106</v>
      </c>
      <c r="V8" s="28" t="s">
        <v>21</v>
      </c>
      <c r="W8" s="32">
        <f>B6</f>
        <v>1</v>
      </c>
      <c r="X8" s="28" t="s">
        <v>138</v>
      </c>
      <c r="Y8" s="77" t="s">
        <v>83</v>
      </c>
      <c r="Z8" s="224">
        <f>Z3/Z42</f>
        <v>3.9100072201049683E-2</v>
      </c>
      <c r="AA8" s="78" t="s">
        <v>106</v>
      </c>
      <c r="AB8" s="77" t="s">
        <v>83</v>
      </c>
      <c r="AC8" s="224">
        <f>AC3/AC42</f>
        <v>0.10015102030179836</v>
      </c>
      <c r="AD8" s="78" t="s">
        <v>106</v>
      </c>
      <c r="AE8" s="28" t="s">
        <v>21</v>
      </c>
      <c r="AF8" s="32">
        <f>B6</f>
        <v>1</v>
      </c>
      <c r="AG8" s="28" t="s">
        <v>138</v>
      </c>
      <c r="AH8" s="176" t="s">
        <v>83</v>
      </c>
      <c r="AI8" s="227">
        <f>AI3/AI42</f>
        <v>0.26066714800699786</v>
      </c>
      <c r="AJ8" s="177" t="s">
        <v>106</v>
      </c>
      <c r="AK8" s="176" t="s">
        <v>83</v>
      </c>
      <c r="AL8" s="227">
        <f>AL3/AL42</f>
        <v>0.66767346867865573</v>
      </c>
      <c r="AM8" s="177" t="s">
        <v>106</v>
      </c>
    </row>
    <row r="9" spans="1:39" s="1" customFormat="1" ht="19.5" x14ac:dyDescent="0.35">
      <c r="A9" s="38" t="s">
        <v>210</v>
      </c>
      <c r="B9" s="151">
        <v>5.0319999999999999E-5</v>
      </c>
      <c r="C9" s="38" t="s">
        <v>11</v>
      </c>
      <c r="D9" s="54" t="s">
        <v>206</v>
      </c>
      <c r="E9" s="32">
        <f>E38</f>
        <v>1</v>
      </c>
      <c r="F9" s="28"/>
      <c r="G9" s="85" t="s">
        <v>84</v>
      </c>
      <c r="H9" s="233">
        <f>H4/H42</f>
        <v>3.9438177750439028E-2</v>
      </c>
      <c r="I9" s="86" t="s">
        <v>105</v>
      </c>
      <c r="J9" s="85" t="s">
        <v>84</v>
      </c>
      <c r="K9" s="233">
        <f>K4/K42</f>
        <v>7.1918814859512181E-2</v>
      </c>
      <c r="L9" s="86" t="s">
        <v>105</v>
      </c>
      <c r="M9" s="54" t="s">
        <v>207</v>
      </c>
      <c r="N9" s="32">
        <f>N30</f>
        <v>1</v>
      </c>
      <c r="O9" s="28"/>
      <c r="P9" s="93" t="s">
        <v>84</v>
      </c>
      <c r="Q9" s="230">
        <f>Q4/Q42</f>
        <v>3.9438177750439035E-2</v>
      </c>
      <c r="R9" s="94" t="s">
        <v>105</v>
      </c>
      <c r="S9" s="93" t="s">
        <v>84</v>
      </c>
      <c r="T9" s="230">
        <f>T4/T42</f>
        <v>7.1918814859512153E-2</v>
      </c>
      <c r="U9" s="94" t="s">
        <v>105</v>
      </c>
      <c r="V9" s="54" t="s">
        <v>208</v>
      </c>
      <c r="W9" s="32">
        <f>W30</f>
        <v>1</v>
      </c>
      <c r="X9" s="28"/>
      <c r="Y9" s="77" t="s">
        <v>84</v>
      </c>
      <c r="Z9" s="224">
        <f>Z4/Z42</f>
        <v>3.9438177750439035E-2</v>
      </c>
      <c r="AA9" s="78" t="s">
        <v>105</v>
      </c>
      <c r="AB9" s="77" t="s">
        <v>84</v>
      </c>
      <c r="AC9" s="224">
        <f>AC4/AC42</f>
        <v>7.1918814859512153E-2</v>
      </c>
      <c r="AD9" s="78" t="s">
        <v>105</v>
      </c>
      <c r="AE9" s="54" t="s">
        <v>140</v>
      </c>
      <c r="AF9" s="32">
        <f>AF30</f>
        <v>1</v>
      </c>
      <c r="AG9" s="28"/>
      <c r="AH9" s="176" t="s">
        <v>84</v>
      </c>
      <c r="AI9" s="227">
        <f>AI4/AI42</f>
        <v>0.26292118500292688</v>
      </c>
      <c r="AJ9" s="177" t="s">
        <v>105</v>
      </c>
      <c r="AK9" s="176" t="s">
        <v>84</v>
      </c>
      <c r="AL9" s="227">
        <f>AL4/AL42</f>
        <v>0.47945876573008117</v>
      </c>
      <c r="AM9" s="177" t="s">
        <v>105</v>
      </c>
    </row>
    <row r="10" spans="1:39" s="1" customFormat="1" ht="14.25" x14ac:dyDescent="0.2">
      <c r="A10" s="57" t="s">
        <v>113</v>
      </c>
      <c r="B10" s="189">
        <v>3.19428</v>
      </c>
      <c r="C10" s="38" t="s">
        <v>198</v>
      </c>
      <c r="D10" s="54" t="s">
        <v>65</v>
      </c>
      <c r="E10" s="32">
        <f>B33</f>
        <v>0.38</v>
      </c>
      <c r="F10" s="28"/>
      <c r="G10" s="85" t="s">
        <v>85</v>
      </c>
      <c r="H10" s="233">
        <f>H5/H42</f>
        <v>1.3781069306422686E-2</v>
      </c>
      <c r="I10" s="86" t="s">
        <v>105</v>
      </c>
      <c r="J10" s="85" t="s">
        <v>85</v>
      </c>
      <c r="K10" s="233">
        <f>K5/K42</f>
        <v>2.2580178181166727E-2</v>
      </c>
      <c r="L10" s="86" t="s">
        <v>105</v>
      </c>
      <c r="M10" s="54" t="s">
        <v>65</v>
      </c>
      <c r="N10" s="32">
        <f>B33</f>
        <v>0.38</v>
      </c>
      <c r="O10" s="28"/>
      <c r="P10" s="93" t="s">
        <v>85</v>
      </c>
      <c r="Q10" s="230">
        <f>Q5/Q42</f>
        <v>1.3781069306422684E-2</v>
      </c>
      <c r="R10" s="94" t="s">
        <v>105</v>
      </c>
      <c r="S10" s="93" t="s">
        <v>85</v>
      </c>
      <c r="T10" s="230">
        <f>T5/T42</f>
        <v>2.2580178181166727E-2</v>
      </c>
      <c r="U10" s="94" t="s">
        <v>105</v>
      </c>
      <c r="V10" s="54" t="s">
        <v>65</v>
      </c>
      <c r="W10" s="32">
        <f>B33</f>
        <v>0.38</v>
      </c>
      <c r="X10" s="28"/>
      <c r="Y10" s="77" t="s">
        <v>85</v>
      </c>
      <c r="Z10" s="224">
        <f>Z5/Z42</f>
        <v>1.3781069306422684E-2</v>
      </c>
      <c r="AA10" s="78" t="s">
        <v>105</v>
      </c>
      <c r="AB10" s="77" t="s">
        <v>85</v>
      </c>
      <c r="AC10" s="224">
        <f>AC5/AC42</f>
        <v>2.2580178181166727E-2</v>
      </c>
      <c r="AD10" s="78" t="s">
        <v>105</v>
      </c>
      <c r="AE10" s="54" t="s">
        <v>65</v>
      </c>
      <c r="AF10" s="32">
        <f>B33</f>
        <v>0.38</v>
      </c>
      <c r="AG10" s="28"/>
      <c r="AH10" s="176" t="s">
        <v>85</v>
      </c>
      <c r="AI10" s="227">
        <f>AI5/AI42</f>
        <v>9.1873795376151202E-2</v>
      </c>
      <c r="AJ10" s="177" t="s">
        <v>105</v>
      </c>
      <c r="AK10" s="176" t="s">
        <v>85</v>
      </c>
      <c r="AL10" s="227">
        <f>AL5/AL42</f>
        <v>0.15053452120777816</v>
      </c>
      <c r="AM10" s="177" t="s">
        <v>105</v>
      </c>
    </row>
    <row r="11" spans="1:39" s="1" customFormat="1" ht="15" thickBot="1" x14ac:dyDescent="0.25">
      <c r="A11" s="57" t="s">
        <v>23</v>
      </c>
      <c r="B11" s="151">
        <v>0.64061199999999996</v>
      </c>
      <c r="C11" s="38" t="s">
        <v>199</v>
      </c>
      <c r="D11" s="54" t="s">
        <v>1</v>
      </c>
      <c r="E11" s="51">
        <f>0.693/E13</f>
        <v>2.3099999999999999E-2</v>
      </c>
      <c r="F11" s="54"/>
      <c r="G11" s="87" t="s">
        <v>86</v>
      </c>
      <c r="H11" s="234">
        <f>H6/H42</f>
        <v>8.8216976547034701E-3</v>
      </c>
      <c r="I11" s="86" t="s">
        <v>105</v>
      </c>
      <c r="J11" s="87" t="s">
        <v>86</v>
      </c>
      <c r="K11" s="234">
        <f>K6/K42</f>
        <v>1.4253921017856658E-2</v>
      </c>
      <c r="L11" s="86" t="s">
        <v>105</v>
      </c>
      <c r="M11" s="54" t="s">
        <v>1</v>
      </c>
      <c r="N11" s="51">
        <f>0.693/N13</f>
        <v>2.3099999999999999E-2</v>
      </c>
      <c r="O11" s="28"/>
      <c r="P11" s="95" t="s">
        <v>86</v>
      </c>
      <c r="Q11" s="231">
        <f>Q6/Q42</f>
        <v>8.8216976547034684E-3</v>
      </c>
      <c r="R11" s="94" t="s">
        <v>105</v>
      </c>
      <c r="S11" s="95" t="s">
        <v>86</v>
      </c>
      <c r="T11" s="231">
        <f>T6/T42</f>
        <v>1.4253921017856658E-2</v>
      </c>
      <c r="U11" s="94" t="s">
        <v>105</v>
      </c>
      <c r="V11" s="54" t="s">
        <v>1</v>
      </c>
      <c r="W11" s="51">
        <f>0.693/W13</f>
        <v>2.3099999999999999E-2</v>
      </c>
      <c r="X11" s="54"/>
      <c r="Y11" s="79" t="s">
        <v>86</v>
      </c>
      <c r="Z11" s="225">
        <f>Z6/Z42</f>
        <v>8.8216976547034684E-3</v>
      </c>
      <c r="AA11" s="78" t="s">
        <v>105</v>
      </c>
      <c r="AB11" s="79" t="s">
        <v>86</v>
      </c>
      <c r="AC11" s="225">
        <f>AC6/AC42</f>
        <v>1.4253921017856658E-2</v>
      </c>
      <c r="AD11" s="78" t="s">
        <v>105</v>
      </c>
      <c r="AE11" s="54" t="s">
        <v>1</v>
      </c>
      <c r="AF11" s="51">
        <f>0.693/AF13</f>
        <v>2.3099999999999999E-2</v>
      </c>
      <c r="AG11" s="54"/>
      <c r="AH11" s="178" t="s">
        <v>86</v>
      </c>
      <c r="AI11" s="228">
        <f>AI6/AI42</f>
        <v>5.8811317698023106E-2</v>
      </c>
      <c r="AJ11" s="177" t="s">
        <v>105</v>
      </c>
      <c r="AK11" s="178" t="s">
        <v>86</v>
      </c>
      <c r="AL11" s="228">
        <f>AL6/AL42</f>
        <v>9.5026140119044381E-2</v>
      </c>
      <c r="AM11" s="177" t="s">
        <v>105</v>
      </c>
    </row>
    <row r="12" spans="1:39" s="1" customFormat="1" ht="14.25" x14ac:dyDescent="0.2">
      <c r="A12" s="57" t="s">
        <v>114</v>
      </c>
      <c r="B12" s="151">
        <v>0.63512000000000002</v>
      </c>
      <c r="C12" s="38" t="s">
        <v>198</v>
      </c>
      <c r="D12" s="28" t="s">
        <v>126</v>
      </c>
      <c r="E12" s="51">
        <f>(1-EXP(-E11*E9))</f>
        <v>2.2835237588950674E-2</v>
      </c>
      <c r="F12" s="28"/>
      <c r="G12" s="84" t="s">
        <v>82</v>
      </c>
      <c r="H12" s="232">
        <f>H2*H21*H43*H44</f>
        <v>2.4389212398877452E-9</v>
      </c>
      <c r="I12" s="88" t="s">
        <v>107</v>
      </c>
      <c r="J12" s="84" t="s">
        <v>82</v>
      </c>
      <c r="K12" s="232">
        <f>K2*K21*K43*K44</f>
        <v>3.9137295229774414E-9</v>
      </c>
      <c r="L12" s="88" t="s">
        <v>107</v>
      </c>
      <c r="M12" s="28" t="s">
        <v>126</v>
      </c>
      <c r="N12" s="51">
        <f>(1-EXP(-N11*N9))</f>
        <v>2.2835237588950674E-2</v>
      </c>
      <c r="O12" s="28"/>
      <c r="P12" s="91" t="s">
        <v>82</v>
      </c>
      <c r="Q12" s="229">
        <f>Q2*Q21*Q43*Q44</f>
        <v>2.4389212398877452E-9</v>
      </c>
      <c r="R12" s="97" t="s">
        <v>107</v>
      </c>
      <c r="S12" s="91" t="s">
        <v>82</v>
      </c>
      <c r="T12" s="229">
        <f>T2*T21*T43*T44</f>
        <v>3.9137295229774414E-9</v>
      </c>
      <c r="U12" s="97" t="s">
        <v>107</v>
      </c>
      <c r="V12" s="28" t="s">
        <v>126</v>
      </c>
      <c r="W12" s="51">
        <f>(1-EXP(-W11*W9))</f>
        <v>2.2835237588950674E-2</v>
      </c>
      <c r="X12" s="28"/>
      <c r="Y12" s="75" t="s">
        <v>82</v>
      </c>
      <c r="Z12" s="223">
        <f>Z2*Z21*Z43*Z44</f>
        <v>2.4389212398877452E-9</v>
      </c>
      <c r="AA12" s="81" t="s">
        <v>107</v>
      </c>
      <c r="AB12" s="75" t="s">
        <v>82</v>
      </c>
      <c r="AC12" s="223">
        <f>AC2*AC21*AC43*AC44</f>
        <v>3.9137295229774414E-9</v>
      </c>
      <c r="AD12" s="81" t="s">
        <v>107</v>
      </c>
      <c r="AE12" s="28" t="s">
        <v>126</v>
      </c>
      <c r="AF12" s="51">
        <f>(1-EXP(-AF11*AF9))</f>
        <v>2.2835237588950674E-2</v>
      </c>
      <c r="AG12" s="28"/>
      <c r="AH12" s="175" t="s">
        <v>82</v>
      </c>
      <c r="AI12" s="226">
        <f>AI2*AI21*AI43*AI44</f>
        <v>1.6259474932584965E-8</v>
      </c>
      <c r="AJ12" s="180" t="s">
        <v>107</v>
      </c>
      <c r="AK12" s="175" t="s">
        <v>82</v>
      </c>
      <c r="AL12" s="226">
        <f>AL2*AL21*AL43*AL44</f>
        <v>2.6091530153182946E-8</v>
      </c>
      <c r="AM12" s="180" t="s">
        <v>107</v>
      </c>
    </row>
    <row r="13" spans="1:39" s="1" customFormat="1" ht="14.25" x14ac:dyDescent="0.2">
      <c r="A13" s="57" t="s">
        <v>115</v>
      </c>
      <c r="B13" s="151">
        <v>1.817564</v>
      </c>
      <c r="C13" s="38" t="s">
        <v>198</v>
      </c>
      <c r="D13" s="33" t="s">
        <v>9</v>
      </c>
      <c r="E13" s="53">
        <f>B16</f>
        <v>30</v>
      </c>
      <c r="F13" s="54" t="s">
        <v>10</v>
      </c>
      <c r="G13" s="85" t="s">
        <v>83</v>
      </c>
      <c r="H13" s="233">
        <f>H3*H21*H43*H45</f>
        <v>1.2161179213234575E-11</v>
      </c>
      <c r="I13" s="86" t="s">
        <v>110</v>
      </c>
      <c r="J13" s="85" t="s">
        <v>83</v>
      </c>
      <c r="K13" s="233">
        <f>K3*K21*K43*K45</f>
        <v>3.1149674098191731E-11</v>
      </c>
      <c r="L13" s="86" t="s">
        <v>110</v>
      </c>
      <c r="M13" s="33" t="s">
        <v>9</v>
      </c>
      <c r="N13" s="53">
        <f>B16</f>
        <v>30</v>
      </c>
      <c r="O13" s="28"/>
      <c r="P13" s="93" t="s">
        <v>83</v>
      </c>
      <c r="Q13" s="230">
        <f>Q3*Q21*Q43*Q45</f>
        <v>1.2161179213234575E-11</v>
      </c>
      <c r="R13" s="94" t="s">
        <v>110</v>
      </c>
      <c r="S13" s="93" t="s">
        <v>83</v>
      </c>
      <c r="T13" s="230">
        <f>T3*T21*T43*T45</f>
        <v>3.1149674098191738E-11</v>
      </c>
      <c r="U13" s="94" t="s">
        <v>110</v>
      </c>
      <c r="V13" s="33" t="s">
        <v>9</v>
      </c>
      <c r="W13" s="53">
        <f>B16</f>
        <v>30</v>
      </c>
      <c r="X13" s="54"/>
      <c r="Y13" s="77" t="s">
        <v>83</v>
      </c>
      <c r="Z13" s="224">
        <f>Z3*Z21*Z43*Z45</f>
        <v>1.2161179213234575E-11</v>
      </c>
      <c r="AA13" s="78" t="s">
        <v>110</v>
      </c>
      <c r="AB13" s="77" t="s">
        <v>83</v>
      </c>
      <c r="AC13" s="224">
        <f>AC3*AC21*AC43*AC45</f>
        <v>3.1149674098191738E-11</v>
      </c>
      <c r="AD13" s="78" t="s">
        <v>110</v>
      </c>
      <c r="AE13" s="33" t="s">
        <v>9</v>
      </c>
      <c r="AF13" s="53">
        <f>B16</f>
        <v>30</v>
      </c>
      <c r="AG13" s="54"/>
      <c r="AH13" s="176" t="s">
        <v>83</v>
      </c>
      <c r="AI13" s="227">
        <f>AI3*AI21*AI43*AI45</f>
        <v>8.1074528088230484E-11</v>
      </c>
      <c r="AJ13" s="177" t="s">
        <v>110</v>
      </c>
      <c r="AK13" s="176" t="s">
        <v>83</v>
      </c>
      <c r="AL13" s="227">
        <f>AL3*AL21*AL43*AL45</f>
        <v>2.0766449398794491E-10</v>
      </c>
      <c r="AM13" s="177" t="s">
        <v>110</v>
      </c>
    </row>
    <row r="14" spans="1:39" s="1" customFormat="1" ht="14.25" x14ac:dyDescent="0.2">
      <c r="A14" s="57" t="s">
        <v>116</v>
      </c>
      <c r="B14" s="151">
        <v>2.8393600000000001</v>
      </c>
      <c r="C14" s="38" t="s">
        <v>198</v>
      </c>
      <c r="D14" s="38" t="s">
        <v>209</v>
      </c>
      <c r="E14" s="53">
        <f>B8</f>
        <v>4.9109405245458101E-5</v>
      </c>
      <c r="F14" s="54" t="s">
        <v>11</v>
      </c>
      <c r="G14" s="85" t="s">
        <v>84</v>
      </c>
      <c r="H14" s="233">
        <f>H4*H21*H43*H44</f>
        <v>1.2266339177082482E-8</v>
      </c>
      <c r="I14" s="89" t="s">
        <v>107</v>
      </c>
      <c r="J14" s="85" t="s">
        <v>84</v>
      </c>
      <c r="K14" s="233">
        <f>K4*K21*K43*K44</f>
        <v>2.2368695173061221E-8</v>
      </c>
      <c r="L14" s="89" t="s">
        <v>107</v>
      </c>
      <c r="M14" s="38" t="s">
        <v>210</v>
      </c>
      <c r="N14" s="53">
        <f>B9</f>
        <v>5.0319999999999999E-5</v>
      </c>
      <c r="O14" s="28" t="s">
        <v>11</v>
      </c>
      <c r="P14" s="93" t="s">
        <v>84</v>
      </c>
      <c r="Q14" s="230">
        <f>Q4*Q21*Q43*Q44</f>
        <v>1.2266339177082484E-8</v>
      </c>
      <c r="R14" s="98" t="s">
        <v>107</v>
      </c>
      <c r="S14" s="93" t="s">
        <v>84</v>
      </c>
      <c r="T14" s="230">
        <f>T4*T21*T43*T44</f>
        <v>2.2368695173061214E-8</v>
      </c>
      <c r="U14" s="98" t="s">
        <v>107</v>
      </c>
      <c r="V14" s="38" t="s">
        <v>210</v>
      </c>
      <c r="W14" s="53">
        <f>B9</f>
        <v>5.0319999999999999E-5</v>
      </c>
      <c r="X14" s="54" t="s">
        <v>11</v>
      </c>
      <c r="Y14" s="77" t="s">
        <v>84</v>
      </c>
      <c r="Z14" s="224">
        <f>Z4*Z21*Z43*Z44</f>
        <v>1.2266339177082484E-8</v>
      </c>
      <c r="AA14" s="82" t="s">
        <v>107</v>
      </c>
      <c r="AB14" s="77" t="s">
        <v>84</v>
      </c>
      <c r="AC14" s="224">
        <f>AC4*AC21*AC43*AC44</f>
        <v>2.2368695173061214E-8</v>
      </c>
      <c r="AD14" s="82" t="s">
        <v>107</v>
      </c>
      <c r="AE14" s="38" t="s">
        <v>210</v>
      </c>
      <c r="AF14" s="53">
        <f>B9</f>
        <v>5.0319999999999999E-5</v>
      </c>
      <c r="AG14" s="54" t="s">
        <v>11</v>
      </c>
      <c r="AH14" s="176" t="s">
        <v>84</v>
      </c>
      <c r="AI14" s="227">
        <f>AI4*AI21*AI43*AI44</f>
        <v>8.1775594513883229E-8</v>
      </c>
      <c r="AJ14" s="181" t="s">
        <v>107</v>
      </c>
      <c r="AK14" s="176" t="s">
        <v>84</v>
      </c>
      <c r="AL14" s="227">
        <f>AL4*AL21*AL43*AL44</f>
        <v>1.4912463448707478E-7</v>
      </c>
      <c r="AM14" s="181" t="s">
        <v>107</v>
      </c>
    </row>
    <row r="15" spans="1:39" s="1" customFormat="1" ht="14.25" x14ac:dyDescent="0.2">
      <c r="A15" s="57" t="s">
        <v>117</v>
      </c>
      <c r="B15" s="151">
        <v>4763.3999999999996</v>
      </c>
      <c r="C15" s="38" t="s">
        <v>200</v>
      </c>
      <c r="D15" s="54" t="s">
        <v>22</v>
      </c>
      <c r="E15" s="53">
        <f>B7</f>
        <v>1.5417408700798101E-4</v>
      </c>
      <c r="F15" s="54" t="s">
        <v>201</v>
      </c>
      <c r="G15" s="85" t="s">
        <v>85</v>
      </c>
      <c r="H15" s="233">
        <f>H5*H21*H43*H44</f>
        <v>4.2862850156300568E-9</v>
      </c>
      <c r="I15" s="89" t="s">
        <v>107</v>
      </c>
      <c r="J15" s="85" t="s">
        <v>85</v>
      </c>
      <c r="K15" s="233">
        <f>K5*K21*K43*K44</f>
        <v>7.0230456894288211E-9</v>
      </c>
      <c r="L15" s="89" t="s">
        <v>107</v>
      </c>
      <c r="M15" s="54" t="s">
        <v>22</v>
      </c>
      <c r="N15" s="53">
        <f>B7</f>
        <v>1.5417408700798101E-4</v>
      </c>
      <c r="O15" s="28" t="s">
        <v>201</v>
      </c>
      <c r="P15" s="93" t="s">
        <v>85</v>
      </c>
      <c r="Q15" s="230">
        <f>Q5*Q21*Q43*Q44</f>
        <v>4.2862850156300559E-9</v>
      </c>
      <c r="R15" s="98" t="s">
        <v>107</v>
      </c>
      <c r="S15" s="93" t="s">
        <v>85</v>
      </c>
      <c r="T15" s="230">
        <f>T5*T21*T43*T44</f>
        <v>7.0230456894288211E-9</v>
      </c>
      <c r="U15" s="98" t="s">
        <v>107</v>
      </c>
      <c r="V15" s="54" t="s">
        <v>22</v>
      </c>
      <c r="W15" s="53">
        <f>B7</f>
        <v>1.5417408700798101E-4</v>
      </c>
      <c r="X15" s="54" t="s">
        <v>201</v>
      </c>
      <c r="Y15" s="77" t="s">
        <v>85</v>
      </c>
      <c r="Z15" s="224">
        <f>Z5*Z21*Z43*Z44</f>
        <v>4.2862850156300559E-9</v>
      </c>
      <c r="AA15" s="82" t="s">
        <v>107</v>
      </c>
      <c r="AB15" s="77" t="s">
        <v>85</v>
      </c>
      <c r="AC15" s="224">
        <f>AC5*AC21*AC43*AC44</f>
        <v>7.0230456894288211E-9</v>
      </c>
      <c r="AD15" s="82" t="s">
        <v>107</v>
      </c>
      <c r="AE15" s="54" t="s">
        <v>22</v>
      </c>
      <c r="AF15" s="53">
        <f>B7</f>
        <v>1.5417408700798101E-4</v>
      </c>
      <c r="AG15" s="54" t="s">
        <v>201</v>
      </c>
      <c r="AH15" s="176" t="s">
        <v>85</v>
      </c>
      <c r="AI15" s="227">
        <f>AI5*AI21*AI43*AI44</f>
        <v>2.8575233437533702E-8</v>
      </c>
      <c r="AJ15" s="181" t="s">
        <v>107</v>
      </c>
      <c r="AK15" s="176" t="s">
        <v>85</v>
      </c>
      <c r="AL15" s="227">
        <f>AL5*AL21*AL43*AL44</f>
        <v>4.6820304596192136E-8</v>
      </c>
      <c r="AM15" s="181" t="s">
        <v>107</v>
      </c>
    </row>
    <row r="16" spans="1:39" s="1" customFormat="1" ht="15" thickBot="1" x14ac:dyDescent="0.25">
      <c r="A16" s="59" t="s">
        <v>9</v>
      </c>
      <c r="B16" s="151">
        <v>30</v>
      </c>
      <c r="C16" s="39" t="s">
        <v>118</v>
      </c>
      <c r="D16" s="54" t="s">
        <v>23</v>
      </c>
      <c r="E16" s="53">
        <f>B11</f>
        <v>0.64061199999999996</v>
      </c>
      <c r="F16" s="54" t="s">
        <v>198</v>
      </c>
      <c r="G16" s="87" t="s">
        <v>86</v>
      </c>
      <c r="H16" s="234">
        <f>H6*H21*H43*H44</f>
        <v>2.7437863948737138E-9</v>
      </c>
      <c r="I16" s="90" t="s">
        <v>107</v>
      </c>
      <c r="J16" s="87" t="s">
        <v>86</v>
      </c>
      <c r="K16" s="234">
        <f>K6*K21*K43*K44</f>
        <v>4.4333546776620062E-9</v>
      </c>
      <c r="L16" s="90" t="s">
        <v>107</v>
      </c>
      <c r="M16" s="54" t="s">
        <v>23</v>
      </c>
      <c r="N16" s="53">
        <f>B11</f>
        <v>0.64061199999999996</v>
      </c>
      <c r="O16" s="28" t="s">
        <v>201</v>
      </c>
      <c r="P16" s="95" t="s">
        <v>86</v>
      </c>
      <c r="Q16" s="231">
        <f>Q6*Q21*Q43*Q44</f>
        <v>2.7437863948737134E-9</v>
      </c>
      <c r="R16" s="99" t="s">
        <v>107</v>
      </c>
      <c r="S16" s="95" t="s">
        <v>86</v>
      </c>
      <c r="T16" s="231">
        <f>T6*T21*T43*T44</f>
        <v>4.4333546776620062E-9</v>
      </c>
      <c r="U16" s="99" t="s">
        <v>107</v>
      </c>
      <c r="V16" s="54" t="s">
        <v>23</v>
      </c>
      <c r="W16" s="53">
        <f>B11</f>
        <v>0.64061199999999996</v>
      </c>
      <c r="X16" s="54" t="s">
        <v>201</v>
      </c>
      <c r="Y16" s="79" t="s">
        <v>86</v>
      </c>
      <c r="Z16" s="225">
        <f>Z6*Z21*Z43*Z44</f>
        <v>2.7437863948737134E-9</v>
      </c>
      <c r="AA16" s="83" t="s">
        <v>107</v>
      </c>
      <c r="AB16" s="79" t="s">
        <v>86</v>
      </c>
      <c r="AC16" s="225">
        <f>AC6*AC21*AC43*AC44</f>
        <v>4.4333546776620062E-9</v>
      </c>
      <c r="AD16" s="83" t="s">
        <v>107</v>
      </c>
      <c r="AE16" s="54" t="s">
        <v>23</v>
      </c>
      <c r="AF16" s="53">
        <f>B11</f>
        <v>0.64061199999999996</v>
      </c>
      <c r="AG16" s="54" t="s">
        <v>201</v>
      </c>
      <c r="AH16" s="178" t="s">
        <v>86</v>
      </c>
      <c r="AI16" s="228">
        <f>AI6*AI21*AI43*AI44</f>
        <v>1.8291909299158087E-8</v>
      </c>
      <c r="AJ16" s="182" t="s">
        <v>107</v>
      </c>
      <c r="AK16" s="178" t="s">
        <v>86</v>
      </c>
      <c r="AL16" s="228">
        <f>AL6*AL21*AL43*AL44</f>
        <v>2.9555697851080044E-8</v>
      </c>
      <c r="AM16" s="182" t="s">
        <v>107</v>
      </c>
    </row>
    <row r="17" spans="1:39" s="1" customFormat="1" ht="14.25" x14ac:dyDescent="0.2">
      <c r="A17" s="38" t="s">
        <v>141</v>
      </c>
      <c r="B17" s="328">
        <v>0.74157303370786498</v>
      </c>
      <c r="C17" s="40"/>
      <c r="D17" s="28" t="s">
        <v>92</v>
      </c>
      <c r="E17" s="47">
        <f>(E8*E9*E11)/(((1-EXP(-E10*E9))/(E10*E9))*E12*E14*E22)</f>
        <v>0.26856312023332329</v>
      </c>
      <c r="F17" s="28" t="s">
        <v>94</v>
      </c>
      <c r="G17" t="s">
        <v>21</v>
      </c>
      <c r="H17" s="220">
        <f>B6</f>
        <v>1</v>
      </c>
      <c r="I17"/>
      <c r="J17" t="s">
        <v>21</v>
      </c>
      <c r="K17" s="220">
        <f>B6</f>
        <v>1</v>
      </c>
      <c r="L17"/>
      <c r="M17" s="28" t="s">
        <v>92</v>
      </c>
      <c r="N17" s="47">
        <f>(N8*N9*N11)/(((1-EXP(-N10*N9))/(N10*N9))*N12*N14*N22*N28)</f>
        <v>0.56804662255323646</v>
      </c>
      <c r="O17" s="28" t="s">
        <v>94</v>
      </c>
      <c r="P17" t="s">
        <v>21</v>
      </c>
      <c r="Q17" s="220">
        <f>B6</f>
        <v>1</v>
      </c>
      <c r="R17"/>
      <c r="S17" t="s">
        <v>21</v>
      </c>
      <c r="T17" s="220">
        <f>B6</f>
        <v>1</v>
      </c>
      <c r="U17"/>
      <c r="V17" s="28" t="s">
        <v>92</v>
      </c>
      <c r="W17" s="47">
        <f>(W8*W9*W11)/(((1-EXP(-W10*W9))/(W10*W9))*W12*W14*W22*W28)</f>
        <v>0.56804662255323646</v>
      </c>
      <c r="X17" s="28" t="s">
        <v>94</v>
      </c>
      <c r="Y17" t="s">
        <v>21</v>
      </c>
      <c r="Z17" s="220">
        <f>B6</f>
        <v>1</v>
      </c>
      <c r="AA17"/>
      <c r="AB17" t="s">
        <v>21</v>
      </c>
      <c r="AC17" s="220">
        <f>B6</f>
        <v>1</v>
      </c>
      <c r="AD17"/>
      <c r="AE17" s="28" t="s">
        <v>92</v>
      </c>
      <c r="AF17" s="47">
        <f>(AF8*AF9*AF11)/(((1-EXP(-AF10*AF9))/(AF10*AF9))*AF12*AF14*AF22*AF28)</f>
        <v>0.56804662255323646</v>
      </c>
      <c r="AG17" s="28" t="s">
        <v>94</v>
      </c>
      <c r="AH17" t="s">
        <v>21</v>
      </c>
      <c r="AI17" s="220">
        <f>B6</f>
        <v>1</v>
      </c>
      <c r="AJ17"/>
      <c r="AK17" t="s">
        <v>21</v>
      </c>
      <c r="AL17" s="220">
        <f>B6</f>
        <v>1</v>
      </c>
      <c r="AM17"/>
    </row>
    <row r="18" spans="1:39" s="1" customFormat="1" ht="19.5" x14ac:dyDescent="0.35">
      <c r="A18" s="38" t="s">
        <v>142</v>
      </c>
      <c r="B18" s="328">
        <v>0.46458923512747902</v>
      </c>
      <c r="C18" s="40"/>
      <c r="D18" s="28" t="s">
        <v>166</v>
      </c>
      <c r="E18" s="46">
        <f>(E8*E9*E11)/(((1-EXP(-E10*E9))/(E10*E9))*E12*E15*E23*(1/E48)*E47*(E41+E42)*(1/24))</f>
        <v>0.98134177839766867</v>
      </c>
      <c r="F18" s="28" t="s">
        <v>94</v>
      </c>
      <c r="G18" s="54" t="s">
        <v>206</v>
      </c>
      <c r="H18" s="221">
        <f>H28</f>
        <v>1</v>
      </c>
      <c r="I18" t="s">
        <v>205</v>
      </c>
      <c r="J18" s="54" t="s">
        <v>206</v>
      </c>
      <c r="K18" s="221">
        <f>K28</f>
        <v>1</v>
      </c>
      <c r="L18" t="s">
        <v>205</v>
      </c>
      <c r="M18" s="28" t="s">
        <v>166</v>
      </c>
      <c r="N18" s="46">
        <f>(N8*N9*N11)/(((1-EXP(-N10*N9))/(N10*N9))*N12*N15*N29*N25*N28*(1/N38)*N37)</f>
        <v>0.15173753547694055</v>
      </c>
      <c r="O18" s="28" t="s">
        <v>94</v>
      </c>
      <c r="P18" s="54" t="s">
        <v>207</v>
      </c>
      <c r="Q18" s="221">
        <f>Q28</f>
        <v>1</v>
      </c>
      <c r="R18" t="s">
        <v>205</v>
      </c>
      <c r="S18" s="54" t="s">
        <v>207</v>
      </c>
      <c r="T18" s="221">
        <f>T28</f>
        <v>1</v>
      </c>
      <c r="U18" t="s">
        <v>205</v>
      </c>
      <c r="V18" s="28" t="s">
        <v>166</v>
      </c>
      <c r="W18" s="46">
        <f>(W8*W9*W11)/(((1-EXP(-W10*W9))/(W10*W9))*W12*W15*W29*W25*W28*(1/W38)*W37)</f>
        <v>0.15173753547694055</v>
      </c>
      <c r="X18" s="28" t="s">
        <v>94</v>
      </c>
      <c r="Y18" s="54" t="s">
        <v>208</v>
      </c>
      <c r="Z18" s="221">
        <f>Z28</f>
        <v>1</v>
      </c>
      <c r="AA18" t="s">
        <v>205</v>
      </c>
      <c r="AB18" s="54" t="s">
        <v>208</v>
      </c>
      <c r="AC18" s="221">
        <f>AC28</f>
        <v>1</v>
      </c>
      <c r="AD18" t="s">
        <v>205</v>
      </c>
      <c r="AE18" s="28" t="s">
        <v>166</v>
      </c>
      <c r="AF18" s="46">
        <f>(AF8*AF9*AF11)/(((1-EXP(-AF10*AF9))/(AF10*AF9))*AF12*AF15*AF29*AF25*AF28*(1/AF38)*AF37)</f>
        <v>9.5903887731748055E-3</v>
      </c>
      <c r="AG18" s="28" t="s">
        <v>94</v>
      </c>
      <c r="AH18" s="54" t="s">
        <v>140</v>
      </c>
      <c r="AI18" s="221">
        <f>AI28</f>
        <v>1</v>
      </c>
      <c r="AJ18" t="s">
        <v>205</v>
      </c>
      <c r="AK18" s="54" t="s">
        <v>140</v>
      </c>
      <c r="AL18" s="221">
        <f>AL28</f>
        <v>1</v>
      </c>
      <c r="AM18" t="s">
        <v>205</v>
      </c>
    </row>
    <row r="19" spans="1:39" s="1" customFormat="1" ht="14.25" x14ac:dyDescent="0.2">
      <c r="A19" s="38" t="s">
        <v>143</v>
      </c>
      <c r="B19" s="328">
        <v>0.65256124721603603</v>
      </c>
      <c r="C19" s="40"/>
      <c r="D19" s="28" t="s">
        <v>165</v>
      </c>
      <c r="E19" s="46">
        <f>(E8*E9*E11)/(((1-EXP(-E10*E9))/(E10*E9))*E12*E15*E23*(1/E49)*E47*(E41+E42)*(1/24))</f>
        <v>36.207328639349804</v>
      </c>
      <c r="F19" s="28" t="s">
        <v>94</v>
      </c>
      <c r="G19" s="29" t="s">
        <v>1</v>
      </c>
      <c r="H19" s="51">
        <f>0.693/H21</f>
        <v>2.3099999999999999E-2</v>
      </c>
      <c r="I19" s="29"/>
      <c r="J19" s="29" t="s">
        <v>1</v>
      </c>
      <c r="K19" s="51">
        <f>0.693/K21</f>
        <v>2.3099999999999999E-2</v>
      </c>
      <c r="L19"/>
      <c r="M19" s="28" t="s">
        <v>165</v>
      </c>
      <c r="N19" s="46">
        <f>(N8*N9*N11)/(((1-EXP(-N10*N9))/(N10*N9))*N12*N15*N29*N25*N28*(1/N39)*N37)</f>
        <v>11.749278143469009</v>
      </c>
      <c r="O19" s="28" t="s">
        <v>94</v>
      </c>
      <c r="P19" s="29" t="s">
        <v>1</v>
      </c>
      <c r="Q19" s="51">
        <f>0.693/Q21</f>
        <v>2.3099999999999999E-2</v>
      </c>
      <c r="R19" s="29"/>
      <c r="S19" s="29" t="s">
        <v>1</v>
      </c>
      <c r="T19" s="51">
        <f>0.693/T21</f>
        <v>2.3099999999999999E-2</v>
      </c>
      <c r="U19"/>
      <c r="V19" s="28" t="s">
        <v>165</v>
      </c>
      <c r="W19" s="46">
        <f>(W8*W9*W11)/(((1-EXP(-W10*W9))/(W10*W9))*W12*W15*W29*W25*W28*(1/W39)*W37)</f>
        <v>11.749278143469009</v>
      </c>
      <c r="X19" s="28" t="s">
        <v>94</v>
      </c>
      <c r="Y19" s="29" t="s">
        <v>1</v>
      </c>
      <c r="Z19" s="51">
        <f>0.693/Z21</f>
        <v>2.3099999999999999E-2</v>
      </c>
      <c r="AA19"/>
      <c r="AB19" s="29" t="s">
        <v>1</v>
      </c>
      <c r="AC19" s="51">
        <f>0.693/AC21</f>
        <v>2.3099999999999999E-2</v>
      </c>
      <c r="AD19" s="29"/>
      <c r="AE19" s="28" t="s">
        <v>165</v>
      </c>
      <c r="AF19" s="46">
        <f>(AF8*AF9*AF11)/(((1-EXP(-AF10*AF9))/(AF10*AF9))*AF12*AF15*AF29*AF25*AF28*(1/AF39)*AF37)</f>
        <v>11.749278143469009</v>
      </c>
      <c r="AG19" s="28" t="s">
        <v>94</v>
      </c>
      <c r="AH19" s="29" t="s">
        <v>1</v>
      </c>
      <c r="AI19" s="51">
        <f>0.693/AI21</f>
        <v>2.3099999999999999E-2</v>
      </c>
      <c r="AJ19" s="29"/>
      <c r="AK19" s="29" t="s">
        <v>1</v>
      </c>
      <c r="AL19" s="51">
        <f>0.693/AL21</f>
        <v>2.3099999999999999E-2</v>
      </c>
      <c r="AM19"/>
    </row>
    <row r="20" spans="1:39" s="1" customFormat="1" ht="14.25" x14ac:dyDescent="0.2">
      <c r="A20" s="38" t="s">
        <v>144</v>
      </c>
      <c r="B20" s="328">
        <v>0.726277372262774</v>
      </c>
      <c r="C20"/>
      <c r="D20" s="28" t="s">
        <v>93</v>
      </c>
      <c r="E20" s="45">
        <f>(E8*E9*E11)/(((1-EXP(-E10*E9))/(E10*E9))*E12*E16*E39*E40*E28*(1/365)*E46*((E41*E44)+(E42*E45))*(1/24))</f>
        <v>6.5071337465011139</v>
      </c>
      <c r="F20" s="28" t="s">
        <v>94</v>
      </c>
      <c r="G20" s="28" t="s">
        <v>126</v>
      </c>
      <c r="H20" s="51">
        <f>(1-EXP(-H19*H18))</f>
        <v>2.2835237588950674E-2</v>
      </c>
      <c r="I20"/>
      <c r="J20" s="28" t="s">
        <v>126</v>
      </c>
      <c r="K20" s="51">
        <f>(1-EXP(-K19*K18))</f>
        <v>2.2835237588950674E-2</v>
      </c>
      <c r="L20"/>
      <c r="M20" s="28" t="s">
        <v>93</v>
      </c>
      <c r="N20" s="45">
        <f>(N8*N9*N11)/(((1-EXP(-N10*N9))/(N10*N9))*N12*N16*N31*N32*N36*N28*(1/365)*N34*N25*(1/24))</f>
        <v>6.507133746501113</v>
      </c>
      <c r="O20" s="28" t="s">
        <v>94</v>
      </c>
      <c r="P20" s="28" t="s">
        <v>126</v>
      </c>
      <c r="Q20" s="51">
        <f>(1-EXP(-Q19*Q18))</f>
        <v>2.2835237588950674E-2</v>
      </c>
      <c r="R20"/>
      <c r="S20" s="28" t="s">
        <v>126</v>
      </c>
      <c r="T20" s="51">
        <f>(1-EXP(-T19*T18))</f>
        <v>2.2835237588950674E-2</v>
      </c>
      <c r="U20"/>
      <c r="V20" s="28" t="s">
        <v>93</v>
      </c>
      <c r="W20" s="45">
        <f>(W8*W9*W11)/(((1-EXP(-W10*W9))/(W10*W9))*W12*W16*W31*W32*W36*W28*(1/365)*W34*W25*(1/24))</f>
        <v>6.507133746501113</v>
      </c>
      <c r="X20" s="28" t="s">
        <v>94</v>
      </c>
      <c r="Y20" s="28" t="s">
        <v>126</v>
      </c>
      <c r="Z20" s="51">
        <f>(1-EXP(-Z19*Z18))</f>
        <v>2.2835237588950674E-2</v>
      </c>
      <c r="AA20"/>
      <c r="AB20" s="28" t="s">
        <v>126</v>
      </c>
      <c r="AC20" s="51">
        <f>(1-EXP(-AC19*AC18))</f>
        <v>2.2835237588950674E-2</v>
      </c>
      <c r="AD20"/>
      <c r="AE20" s="28" t="s">
        <v>93</v>
      </c>
      <c r="AF20" s="45">
        <f>(AF8*AF9*AF11)/(((1-EXP(-AF10*AF9))/(AF10*AF9))*AF12*AF16*AF35*AF31*AF32*AF36*AF25*(1/24)*AF28*(1/365))</f>
        <v>43.380891643340753</v>
      </c>
      <c r="AG20" s="28" t="s">
        <v>94</v>
      </c>
      <c r="AH20" s="28" t="s">
        <v>126</v>
      </c>
      <c r="AI20" s="51">
        <f>(1-EXP(-AI19*AI18))</f>
        <v>2.2835237588950674E-2</v>
      </c>
      <c r="AJ20"/>
      <c r="AK20" s="28" t="s">
        <v>126</v>
      </c>
      <c r="AL20" s="51">
        <f>(1-EXP(-AL19*AL18))</f>
        <v>2.2835237588950674E-2</v>
      </c>
      <c r="AM20"/>
    </row>
    <row r="21" spans="1:39" s="1" customFormat="1" ht="14.25" x14ac:dyDescent="0.2">
      <c r="A21" s="38" t="s">
        <v>145</v>
      </c>
      <c r="B21" s="328">
        <v>0.73648648648648596</v>
      </c>
      <c r="C21"/>
      <c r="D21" s="28"/>
      <c r="E21" s="32"/>
      <c r="F21" s="28"/>
      <c r="G21" s="56" t="s">
        <v>9</v>
      </c>
      <c r="H21" s="53">
        <f>B16</f>
        <v>30</v>
      </c>
      <c r="I21" s="2" t="s">
        <v>10</v>
      </c>
      <c r="J21" s="56" t="s">
        <v>9</v>
      </c>
      <c r="K21" s="43">
        <f>B16</f>
        <v>30</v>
      </c>
      <c r="L21" s="1" t="s">
        <v>10</v>
      </c>
      <c r="M21" s="28"/>
      <c r="N21" s="32"/>
      <c r="O21" s="28"/>
      <c r="P21" s="56" t="s">
        <v>9</v>
      </c>
      <c r="Q21" s="53">
        <f>B16</f>
        <v>30</v>
      </c>
      <c r="R21" s="2" t="s">
        <v>10</v>
      </c>
      <c r="S21" s="56" t="s">
        <v>9</v>
      </c>
      <c r="T21" s="43">
        <f>B16</f>
        <v>30</v>
      </c>
      <c r="U21" s="1" t="s">
        <v>10</v>
      </c>
      <c r="V21" s="28"/>
      <c r="W21" s="28"/>
      <c r="X21" s="28"/>
      <c r="Y21" s="56" t="s">
        <v>9</v>
      </c>
      <c r="Z21" s="43">
        <f>B16</f>
        <v>30</v>
      </c>
      <c r="AA21" s="1" t="s">
        <v>10</v>
      </c>
      <c r="AB21" s="56" t="s">
        <v>9</v>
      </c>
      <c r="AC21" s="53">
        <f>B16</f>
        <v>30</v>
      </c>
      <c r="AD21" s="2" t="s">
        <v>10</v>
      </c>
      <c r="AE21" s="28"/>
      <c r="AF21" s="32"/>
      <c r="AG21" s="28"/>
      <c r="AH21" s="56" t="s">
        <v>9</v>
      </c>
      <c r="AI21" s="53">
        <f>B16</f>
        <v>30</v>
      </c>
      <c r="AJ21" s="2" t="s">
        <v>10</v>
      </c>
      <c r="AK21" s="56" t="s">
        <v>9</v>
      </c>
      <c r="AL21" s="43">
        <f>B16</f>
        <v>30</v>
      </c>
      <c r="AM21" s="1" t="s">
        <v>10</v>
      </c>
    </row>
    <row r="22" spans="1:39" s="1" customFormat="1" ht="14.25" x14ac:dyDescent="0.2">
      <c r="A22" s="58" t="s">
        <v>102</v>
      </c>
      <c r="B22" s="259">
        <v>137</v>
      </c>
      <c r="C22" s="40" t="s">
        <v>103</v>
      </c>
      <c r="D22" s="60" t="s">
        <v>220</v>
      </c>
      <c r="E22" s="61">
        <f>(E24*E27*E29*E25*E31*E33*E35)+(E24*E26*E28*E25*E30*E32*E34)</f>
        <v>92193.75</v>
      </c>
      <c r="F22" s="62" t="s">
        <v>24</v>
      </c>
      <c r="G22" s="38" t="s">
        <v>113</v>
      </c>
      <c r="H22" s="220">
        <f>B10</f>
        <v>3.19428</v>
      </c>
      <c r="I22" s="38" t="s">
        <v>198</v>
      </c>
      <c r="J22" s="38" t="s">
        <v>113</v>
      </c>
      <c r="K22" s="220">
        <f>B10</f>
        <v>3.19428</v>
      </c>
      <c r="L22" s="38" t="s">
        <v>198</v>
      </c>
      <c r="M22" s="60" t="s">
        <v>217</v>
      </c>
      <c r="N22" s="71">
        <f>N23*N25*N24*N26*N27</f>
        <v>773.4375</v>
      </c>
      <c r="O22" s="62" t="s">
        <v>24</v>
      </c>
      <c r="P22" s="38" t="s">
        <v>113</v>
      </c>
      <c r="Q22" s="220">
        <f>B10</f>
        <v>3.19428</v>
      </c>
      <c r="R22" s="38" t="s">
        <v>198</v>
      </c>
      <c r="S22" s="38" t="s">
        <v>113</v>
      </c>
      <c r="T22" s="220">
        <f>B10</f>
        <v>3.19428</v>
      </c>
      <c r="U22" s="38" t="s">
        <v>198</v>
      </c>
      <c r="V22" s="60" t="s">
        <v>218</v>
      </c>
      <c r="W22" s="71">
        <f>W23*W25*W24*W26*W27</f>
        <v>773.4375</v>
      </c>
      <c r="X22" s="62" t="s">
        <v>24</v>
      </c>
      <c r="Y22" s="38" t="s">
        <v>113</v>
      </c>
      <c r="Z22" s="220">
        <f>B10</f>
        <v>3.19428</v>
      </c>
      <c r="AA22" s="38" t="s">
        <v>198</v>
      </c>
      <c r="AB22" s="38" t="s">
        <v>113</v>
      </c>
      <c r="AC22" s="220">
        <f>B10</f>
        <v>3.19428</v>
      </c>
      <c r="AD22" s="38" t="s">
        <v>198</v>
      </c>
      <c r="AE22" s="60" t="s">
        <v>219</v>
      </c>
      <c r="AF22" s="71">
        <f>AF23*AF25*AF24*AF26*AF27</f>
        <v>773.4375</v>
      </c>
      <c r="AG22" s="62" t="s">
        <v>24</v>
      </c>
      <c r="AH22" s="38" t="s">
        <v>113</v>
      </c>
      <c r="AI22" s="220">
        <f>B10</f>
        <v>3.19428</v>
      </c>
      <c r="AJ22" s="38" t="s">
        <v>198</v>
      </c>
      <c r="AK22" s="38" t="s">
        <v>113</v>
      </c>
      <c r="AL22" s="220">
        <f>B10</f>
        <v>3.19428</v>
      </c>
      <c r="AM22" s="38" t="s">
        <v>198</v>
      </c>
    </row>
    <row r="23" spans="1:39" s="1" customFormat="1" ht="14.25" x14ac:dyDescent="0.2">
      <c r="A23" t="s">
        <v>90</v>
      </c>
      <c r="B23" s="188">
        <v>1.19</v>
      </c>
      <c r="C23"/>
      <c r="D23" s="63" t="s">
        <v>221</v>
      </c>
      <c r="E23" s="64">
        <f>(E37*E29*E31)+(E36*E28*E30)</f>
        <v>486.75</v>
      </c>
      <c r="F23" s="65" t="s">
        <v>25</v>
      </c>
      <c r="G23" s="38" t="s">
        <v>23</v>
      </c>
      <c r="H23" s="220">
        <f>B11</f>
        <v>0.64061199999999996</v>
      </c>
      <c r="I23" s="38" t="s">
        <v>199</v>
      </c>
      <c r="J23" s="38" t="s">
        <v>23</v>
      </c>
      <c r="K23" s="220">
        <f>B11</f>
        <v>0.64061199999999996</v>
      </c>
      <c r="L23" s="38" t="s">
        <v>199</v>
      </c>
      <c r="M23" s="63" t="s">
        <v>162</v>
      </c>
      <c r="N23" s="66">
        <f>B27</f>
        <v>0.75</v>
      </c>
      <c r="O23" s="65"/>
      <c r="P23" s="38" t="s">
        <v>23</v>
      </c>
      <c r="Q23" s="220">
        <f>B11</f>
        <v>0.64061199999999996</v>
      </c>
      <c r="R23" s="38" t="s">
        <v>199</v>
      </c>
      <c r="S23" s="38" t="s">
        <v>23</v>
      </c>
      <c r="T23" s="220">
        <f>B11</f>
        <v>0.64061199999999996</v>
      </c>
      <c r="U23" s="38" t="s">
        <v>199</v>
      </c>
      <c r="V23" s="63" t="s">
        <v>162</v>
      </c>
      <c r="W23" s="66">
        <f>B27</f>
        <v>0.75</v>
      </c>
      <c r="X23" s="65"/>
      <c r="Y23" s="38" t="s">
        <v>23</v>
      </c>
      <c r="Z23" s="220">
        <f>B11</f>
        <v>0.64061199999999996</v>
      </c>
      <c r="AA23" s="38" t="s">
        <v>199</v>
      </c>
      <c r="AB23" s="38" t="s">
        <v>23</v>
      </c>
      <c r="AC23" s="220">
        <f>B11</f>
        <v>0.64061199999999996</v>
      </c>
      <c r="AD23" s="38" t="s">
        <v>199</v>
      </c>
      <c r="AE23" s="63" t="s">
        <v>162</v>
      </c>
      <c r="AF23" s="66">
        <f>B27</f>
        <v>0.75</v>
      </c>
      <c r="AG23" s="65"/>
      <c r="AH23" s="38" t="s">
        <v>23</v>
      </c>
      <c r="AI23" s="220">
        <f>B11</f>
        <v>0.64061199999999996</v>
      </c>
      <c r="AJ23" s="38" t="s">
        <v>199</v>
      </c>
      <c r="AK23" s="38" t="s">
        <v>23</v>
      </c>
      <c r="AL23" s="220">
        <f>B11</f>
        <v>0.64061199999999996</v>
      </c>
      <c r="AM23" s="38" t="s">
        <v>199</v>
      </c>
    </row>
    <row r="24" spans="1:39" s="1" customFormat="1" ht="14.25" x14ac:dyDescent="0.2">
      <c r="A24" s="28" t="s">
        <v>139</v>
      </c>
      <c r="B24" s="55">
        <v>2</v>
      </c>
      <c r="C24"/>
      <c r="D24" s="63" t="s">
        <v>162</v>
      </c>
      <c r="E24" s="66">
        <f>B27</f>
        <v>0.75</v>
      </c>
      <c r="F24" s="65"/>
      <c r="G24" s="38" t="s">
        <v>114</v>
      </c>
      <c r="H24" s="220">
        <f>B12</f>
        <v>0.63512000000000002</v>
      </c>
      <c r="I24" s="38" t="s">
        <v>198</v>
      </c>
      <c r="J24" s="38" t="s">
        <v>114</v>
      </c>
      <c r="K24" s="220">
        <f>B12</f>
        <v>0.63512000000000002</v>
      </c>
      <c r="L24" s="38" t="s">
        <v>198</v>
      </c>
      <c r="M24" s="63" t="s">
        <v>119</v>
      </c>
      <c r="N24" s="66">
        <f>B28</f>
        <v>0.75</v>
      </c>
      <c r="O24" s="65"/>
      <c r="P24" s="38" t="s">
        <v>114</v>
      </c>
      <c r="Q24" s="220">
        <f>B12</f>
        <v>0.63512000000000002</v>
      </c>
      <c r="R24" s="38" t="s">
        <v>198</v>
      </c>
      <c r="S24" s="38" t="s">
        <v>114</v>
      </c>
      <c r="T24" s="220">
        <f>B12</f>
        <v>0.63512000000000002</v>
      </c>
      <c r="U24" s="38" t="s">
        <v>198</v>
      </c>
      <c r="V24" s="63" t="s">
        <v>119</v>
      </c>
      <c r="W24" s="66">
        <f>B28</f>
        <v>0.75</v>
      </c>
      <c r="X24" s="65"/>
      <c r="Y24" s="38" t="s">
        <v>114</v>
      </c>
      <c r="Z24" s="220">
        <f>B12</f>
        <v>0.63512000000000002</v>
      </c>
      <c r="AA24" s="38" t="s">
        <v>198</v>
      </c>
      <c r="AB24" s="38" t="s">
        <v>114</v>
      </c>
      <c r="AC24" s="220">
        <f>B12</f>
        <v>0.63512000000000002</v>
      </c>
      <c r="AD24" s="38" t="s">
        <v>198</v>
      </c>
      <c r="AE24" s="63" t="s">
        <v>119</v>
      </c>
      <c r="AF24" s="66">
        <f>B28</f>
        <v>0.75</v>
      </c>
      <c r="AG24" s="65"/>
      <c r="AH24" s="38" t="s">
        <v>114</v>
      </c>
      <c r="AI24" s="220">
        <f>B12</f>
        <v>0.63512000000000002</v>
      </c>
      <c r="AJ24" s="38" t="s">
        <v>198</v>
      </c>
      <c r="AK24" s="38" t="s">
        <v>114</v>
      </c>
      <c r="AL24" s="220">
        <f>B12</f>
        <v>0.63512000000000002</v>
      </c>
      <c r="AM24" s="38" t="s">
        <v>198</v>
      </c>
    </row>
    <row r="25" spans="1:39" s="1" customFormat="1" ht="14.25" x14ac:dyDescent="0.2">
      <c r="A25" s="28" t="s">
        <v>3</v>
      </c>
      <c r="B25" s="55">
        <v>2</v>
      </c>
      <c r="C25" s="37"/>
      <c r="D25" s="63" t="s">
        <v>119</v>
      </c>
      <c r="E25" s="66">
        <f>B28</f>
        <v>0.75</v>
      </c>
      <c r="F25" s="65"/>
      <c r="G25" s="38" t="s">
        <v>115</v>
      </c>
      <c r="H25" s="220">
        <f>B13</f>
        <v>1.817564</v>
      </c>
      <c r="I25" s="38" t="s">
        <v>198</v>
      </c>
      <c r="J25" s="38" t="s">
        <v>115</v>
      </c>
      <c r="K25" s="220">
        <f>B13</f>
        <v>1.817564</v>
      </c>
      <c r="L25" s="38" t="s">
        <v>198</v>
      </c>
      <c r="M25" s="63" t="s">
        <v>122</v>
      </c>
      <c r="N25" s="66">
        <f>B58</f>
        <v>5</v>
      </c>
      <c r="O25" s="65" t="s">
        <v>203</v>
      </c>
      <c r="P25" s="38" t="s">
        <v>115</v>
      </c>
      <c r="Q25" s="220">
        <f>B13</f>
        <v>1.817564</v>
      </c>
      <c r="R25" s="38" t="s">
        <v>198</v>
      </c>
      <c r="S25" s="38" t="s">
        <v>115</v>
      </c>
      <c r="T25" s="220">
        <f>B13</f>
        <v>1.817564</v>
      </c>
      <c r="U25" s="38" t="s">
        <v>198</v>
      </c>
      <c r="V25" s="63" t="s">
        <v>132</v>
      </c>
      <c r="W25" s="66">
        <f>B67</f>
        <v>5</v>
      </c>
      <c r="X25" s="65" t="s">
        <v>203</v>
      </c>
      <c r="Y25" s="38" t="s">
        <v>115</v>
      </c>
      <c r="Z25" s="220">
        <f>B13</f>
        <v>1.817564</v>
      </c>
      <c r="AA25" s="38" t="s">
        <v>198</v>
      </c>
      <c r="AB25" s="38" t="s">
        <v>115</v>
      </c>
      <c r="AC25" s="220">
        <f>B13</f>
        <v>1.817564</v>
      </c>
      <c r="AD25" s="38" t="s">
        <v>198</v>
      </c>
      <c r="AE25" s="63" t="s">
        <v>14</v>
      </c>
      <c r="AF25" s="66">
        <f>B76</f>
        <v>5</v>
      </c>
      <c r="AG25" s="65" t="s">
        <v>203</v>
      </c>
      <c r="AH25" s="38" t="s">
        <v>115</v>
      </c>
      <c r="AI25" s="220">
        <f>B13</f>
        <v>1.817564</v>
      </c>
      <c r="AJ25" s="38" t="s">
        <v>198</v>
      </c>
      <c r="AK25" s="38" t="s">
        <v>115</v>
      </c>
      <c r="AL25" s="220">
        <f>B13</f>
        <v>1.817564</v>
      </c>
      <c r="AM25" s="38" t="s">
        <v>198</v>
      </c>
    </row>
    <row r="26" spans="1:39" s="1" customFormat="1" ht="14.25" x14ac:dyDescent="0.2">
      <c r="A26" s="28" t="s">
        <v>27</v>
      </c>
      <c r="B26" s="55">
        <v>2</v>
      </c>
      <c r="C26" s="37"/>
      <c r="D26" s="67" t="s">
        <v>159</v>
      </c>
      <c r="E26" s="66">
        <f>B40</f>
        <v>10</v>
      </c>
      <c r="F26" s="65" t="s">
        <v>203</v>
      </c>
      <c r="G26" s="38" t="s">
        <v>116</v>
      </c>
      <c r="H26" s="220">
        <f>B14</f>
        <v>2.8393600000000001</v>
      </c>
      <c r="I26" s="38" t="s">
        <v>198</v>
      </c>
      <c r="J26" s="38" t="s">
        <v>116</v>
      </c>
      <c r="K26" s="220">
        <f>B14</f>
        <v>2.8393600000000001</v>
      </c>
      <c r="L26" s="38" t="s">
        <v>198</v>
      </c>
      <c r="M26" s="63" t="s">
        <v>136</v>
      </c>
      <c r="N26" s="66">
        <f>B62</f>
        <v>55</v>
      </c>
      <c r="O26" s="65" t="s">
        <v>24</v>
      </c>
      <c r="P26" s="38" t="s">
        <v>116</v>
      </c>
      <c r="Q26" s="220">
        <f>B14</f>
        <v>2.8393600000000001</v>
      </c>
      <c r="R26" s="38" t="s">
        <v>198</v>
      </c>
      <c r="S26" s="38" t="s">
        <v>116</v>
      </c>
      <c r="T26" s="220">
        <f>B14</f>
        <v>2.8393600000000001</v>
      </c>
      <c r="U26" s="38" t="s">
        <v>198</v>
      </c>
      <c r="V26" s="63" t="s">
        <v>130</v>
      </c>
      <c r="W26" s="66">
        <f>B71</f>
        <v>55</v>
      </c>
      <c r="X26" s="65" t="s">
        <v>24</v>
      </c>
      <c r="Y26" s="38" t="s">
        <v>116</v>
      </c>
      <c r="Z26" s="220">
        <f>B14</f>
        <v>2.8393600000000001</v>
      </c>
      <c r="AA26" s="38" t="s">
        <v>198</v>
      </c>
      <c r="AB26" s="38" t="s">
        <v>116</v>
      </c>
      <c r="AC26" s="220">
        <f>B14</f>
        <v>2.8393600000000001</v>
      </c>
      <c r="AD26" s="38" t="s">
        <v>198</v>
      </c>
      <c r="AE26" s="63" t="s">
        <v>17</v>
      </c>
      <c r="AF26" s="66">
        <f>B80</f>
        <v>55</v>
      </c>
      <c r="AG26" s="65" t="s">
        <v>24</v>
      </c>
      <c r="AH26" s="38" t="s">
        <v>116</v>
      </c>
      <c r="AI26" s="220">
        <f>B14</f>
        <v>2.8393600000000001</v>
      </c>
      <c r="AJ26" s="38" t="s">
        <v>198</v>
      </c>
      <c r="AK26" s="38" t="s">
        <v>116</v>
      </c>
      <c r="AL26" s="220">
        <f>B14</f>
        <v>2.8393600000000001</v>
      </c>
      <c r="AM26" s="38" t="s">
        <v>198</v>
      </c>
    </row>
    <row r="27" spans="1:39" s="1" customFormat="1" ht="14.25" x14ac:dyDescent="0.2">
      <c r="A27" s="28" t="s">
        <v>162</v>
      </c>
      <c r="B27" s="55">
        <v>0.75</v>
      </c>
      <c r="C27" s="37"/>
      <c r="D27" s="67" t="s">
        <v>158</v>
      </c>
      <c r="E27" s="66">
        <f>B39</f>
        <v>10</v>
      </c>
      <c r="F27" s="65" t="s">
        <v>203</v>
      </c>
      <c r="G27" s="40" t="s">
        <v>155</v>
      </c>
      <c r="H27" s="222">
        <f>B35</f>
        <v>55</v>
      </c>
      <c r="I27" s="29" t="s">
        <v>202</v>
      </c>
      <c r="J27" s="40" t="s">
        <v>155</v>
      </c>
      <c r="K27" s="221">
        <f>B35</f>
        <v>55</v>
      </c>
      <c r="L27" t="s">
        <v>202</v>
      </c>
      <c r="M27" s="68" t="s">
        <v>137</v>
      </c>
      <c r="N27" s="69">
        <f>B64</f>
        <v>5</v>
      </c>
      <c r="O27" s="70" t="s">
        <v>204</v>
      </c>
      <c r="P27" s="29" t="s">
        <v>87</v>
      </c>
      <c r="Q27" s="222">
        <f>B57</f>
        <v>55</v>
      </c>
      <c r="R27" s="29" t="s">
        <v>202</v>
      </c>
      <c r="S27" s="29" t="s">
        <v>87</v>
      </c>
      <c r="T27" s="221">
        <f>B57</f>
        <v>55</v>
      </c>
      <c r="U27" t="s">
        <v>202</v>
      </c>
      <c r="V27" s="68" t="s">
        <v>131</v>
      </c>
      <c r="W27" s="69">
        <f>B73</f>
        <v>5</v>
      </c>
      <c r="X27" s="70" t="s">
        <v>204</v>
      </c>
      <c r="Y27" s="29" t="s">
        <v>87</v>
      </c>
      <c r="Z27" s="32">
        <f>B66</f>
        <v>55</v>
      </c>
      <c r="AA27" t="s">
        <v>202</v>
      </c>
      <c r="AB27" s="29" t="s">
        <v>87</v>
      </c>
      <c r="AC27" s="222">
        <f>B66</f>
        <v>55</v>
      </c>
      <c r="AD27" s="29" t="s">
        <v>202</v>
      </c>
      <c r="AE27" s="68" t="s">
        <v>18</v>
      </c>
      <c r="AF27" s="69">
        <f>B82</f>
        <v>5</v>
      </c>
      <c r="AG27" s="70" t="s">
        <v>204</v>
      </c>
      <c r="AH27" s="29" t="s">
        <v>87</v>
      </c>
      <c r="AI27" s="222">
        <f>B75</f>
        <v>55</v>
      </c>
      <c r="AJ27" s="29" t="s">
        <v>202</v>
      </c>
      <c r="AK27" s="29" t="s">
        <v>87</v>
      </c>
      <c r="AL27" s="221">
        <f>B75</f>
        <v>55</v>
      </c>
      <c r="AM27" t="s">
        <v>202</v>
      </c>
    </row>
    <row r="28" spans="1:39" s="1" customFormat="1" ht="14.25" x14ac:dyDescent="0.2">
      <c r="A28" s="28" t="s">
        <v>119</v>
      </c>
      <c r="B28" s="55">
        <v>0.75</v>
      </c>
      <c r="C28" s="40"/>
      <c r="D28" s="67" t="s">
        <v>157</v>
      </c>
      <c r="E28" s="66">
        <f>B37</f>
        <v>55</v>
      </c>
      <c r="F28" s="65" t="s">
        <v>202</v>
      </c>
      <c r="G28" s="40" t="s">
        <v>125</v>
      </c>
      <c r="H28" s="221">
        <f>B43</f>
        <v>1</v>
      </c>
      <c r="I28" t="s">
        <v>205</v>
      </c>
      <c r="J28" s="40" t="s">
        <v>125</v>
      </c>
      <c r="K28" s="221">
        <f>B43</f>
        <v>1</v>
      </c>
      <c r="L28" t="s">
        <v>205</v>
      </c>
      <c r="M28" s="73" t="s">
        <v>133</v>
      </c>
      <c r="N28" s="66">
        <f>B57</f>
        <v>55</v>
      </c>
      <c r="O28" s="74" t="s">
        <v>202</v>
      </c>
      <c r="P28" t="s">
        <v>28</v>
      </c>
      <c r="Q28" s="221">
        <f>B61</f>
        <v>1</v>
      </c>
      <c r="R28" t="s">
        <v>205</v>
      </c>
      <c r="S28" s="29" t="s">
        <v>28</v>
      </c>
      <c r="T28" s="221">
        <f>B61</f>
        <v>1</v>
      </c>
      <c r="U28" t="s">
        <v>205</v>
      </c>
      <c r="V28" s="74" t="s">
        <v>128</v>
      </c>
      <c r="W28" s="66">
        <f>B66</f>
        <v>55</v>
      </c>
      <c r="X28" s="74" t="s">
        <v>202</v>
      </c>
      <c r="Y28" t="s">
        <v>28</v>
      </c>
      <c r="Z28" s="221">
        <f>B70</f>
        <v>1</v>
      </c>
      <c r="AA28" t="s">
        <v>205</v>
      </c>
      <c r="AB28" t="s">
        <v>28</v>
      </c>
      <c r="AC28" s="221">
        <f>B70</f>
        <v>1</v>
      </c>
      <c r="AD28" t="s">
        <v>205</v>
      </c>
      <c r="AE28" s="74" t="s">
        <v>13</v>
      </c>
      <c r="AF28" s="66">
        <f>B75</f>
        <v>55</v>
      </c>
      <c r="AG28" s="74" t="s">
        <v>202</v>
      </c>
      <c r="AH28" t="s">
        <v>28</v>
      </c>
      <c r="AI28" s="221">
        <f>B79</f>
        <v>1</v>
      </c>
      <c r="AJ28" t="s">
        <v>205</v>
      </c>
      <c r="AK28" t="s">
        <v>28</v>
      </c>
      <c r="AL28" s="221">
        <f>B79</f>
        <v>1</v>
      </c>
      <c r="AM28" t="s">
        <v>205</v>
      </c>
    </row>
    <row r="29" spans="1:39" s="1" customFormat="1" ht="14.25" x14ac:dyDescent="0.2">
      <c r="A29" s="28" t="s">
        <v>29</v>
      </c>
      <c r="B29" s="55">
        <v>0.4</v>
      </c>
      <c r="C29" s="28"/>
      <c r="D29" s="67" t="s">
        <v>156</v>
      </c>
      <c r="E29" s="66">
        <f>B36</f>
        <v>55</v>
      </c>
      <c r="F29" s="65" t="s">
        <v>202</v>
      </c>
      <c r="G29" t="s">
        <v>88</v>
      </c>
      <c r="H29" s="221">
        <f>B31</f>
        <v>0.75</v>
      </c>
      <c r="I29"/>
      <c r="J29" t="s">
        <v>88</v>
      </c>
      <c r="K29" s="221">
        <f>B31</f>
        <v>0.75</v>
      </c>
      <c r="L29"/>
      <c r="M29" s="74" t="s">
        <v>134</v>
      </c>
      <c r="N29" s="66">
        <f>B63</f>
        <v>5</v>
      </c>
      <c r="O29" s="74" t="s">
        <v>26</v>
      </c>
      <c r="P29"/>
      <c r="Q29" s="221"/>
      <c r="R29"/>
      <c r="S29"/>
      <c r="T29" s="221"/>
      <c r="U29"/>
      <c r="V29" s="74" t="s">
        <v>127</v>
      </c>
      <c r="W29" s="66">
        <f>B72</f>
        <v>5</v>
      </c>
      <c r="X29" s="74" t="s">
        <v>26</v>
      </c>
      <c r="Y29"/>
      <c r="Z29" s="221"/>
      <c r="AA29"/>
      <c r="AB29"/>
      <c r="AC29" s="221"/>
      <c r="AD29"/>
      <c r="AE29" s="74" t="s">
        <v>12</v>
      </c>
      <c r="AF29" s="66">
        <f>B81</f>
        <v>5</v>
      </c>
      <c r="AG29" s="74" t="s">
        <v>26</v>
      </c>
      <c r="AH29"/>
      <c r="AI29" s="221"/>
      <c r="AJ29"/>
      <c r="AK29"/>
      <c r="AL29" s="221"/>
      <c r="AM29"/>
    </row>
    <row r="30" spans="1:39" s="1" customFormat="1" ht="14.25" x14ac:dyDescent="0.2">
      <c r="A30" s="54" t="s">
        <v>99</v>
      </c>
      <c r="B30" s="55">
        <v>5</v>
      </c>
      <c r="C30" s="28"/>
      <c r="D30" s="63" t="s">
        <v>163</v>
      </c>
      <c r="E30" s="66">
        <f>B54</f>
        <v>0.77</v>
      </c>
      <c r="F30" s="65"/>
      <c r="G30" t="s">
        <v>99</v>
      </c>
      <c r="H30" s="221">
        <f>B30</f>
        <v>5</v>
      </c>
      <c r="I30"/>
      <c r="J30" t="s">
        <v>99</v>
      </c>
      <c r="K30" s="221">
        <f>B30</f>
        <v>5</v>
      </c>
      <c r="L30"/>
      <c r="M30" s="28" t="s">
        <v>135</v>
      </c>
      <c r="N30" s="32">
        <f>B61</f>
        <v>1</v>
      </c>
      <c r="O30" s="28" t="s">
        <v>205</v>
      </c>
      <c r="P30" t="s">
        <v>99</v>
      </c>
      <c r="Q30" s="221">
        <f>B30</f>
        <v>5</v>
      </c>
      <c r="R30"/>
      <c r="S30" t="s">
        <v>99</v>
      </c>
      <c r="T30" s="221">
        <f>B30</f>
        <v>5</v>
      </c>
      <c r="U30"/>
      <c r="V30" s="28" t="s">
        <v>129</v>
      </c>
      <c r="W30" s="32">
        <f>B70</f>
        <v>1</v>
      </c>
      <c r="X30" s="28" t="s">
        <v>205</v>
      </c>
      <c r="Y30" t="s">
        <v>99</v>
      </c>
      <c r="Z30" s="221">
        <f>B30</f>
        <v>5</v>
      </c>
      <c r="AA30"/>
      <c r="AB30" t="s">
        <v>99</v>
      </c>
      <c r="AC30" s="221">
        <f>B30</f>
        <v>5</v>
      </c>
      <c r="AD30"/>
      <c r="AE30" s="28" t="s">
        <v>15</v>
      </c>
      <c r="AF30" s="32">
        <f>B79</f>
        <v>1</v>
      </c>
      <c r="AG30" s="28" t="s">
        <v>205</v>
      </c>
      <c r="AH30" s="28" t="s">
        <v>16</v>
      </c>
      <c r="AI30" s="221">
        <f>B31</f>
        <v>0.75</v>
      </c>
      <c r="AJ30"/>
      <c r="AK30" s="28" t="s">
        <v>16</v>
      </c>
      <c r="AL30" s="221">
        <f>B31</f>
        <v>0.75</v>
      </c>
      <c r="AM30"/>
    </row>
    <row r="31" spans="1:39" s="1" customFormat="1" ht="14.25" x14ac:dyDescent="0.2">
      <c r="A31" s="54" t="s">
        <v>16</v>
      </c>
      <c r="B31" s="55">
        <v>0.75</v>
      </c>
      <c r="C31" s="28"/>
      <c r="D31" s="63" t="s">
        <v>164</v>
      </c>
      <c r="E31" s="66">
        <f>B55</f>
        <v>0.23</v>
      </c>
      <c r="F31" s="65"/>
      <c r="G31"/>
      <c r="H31" s="221"/>
      <c r="I31"/>
      <c r="J31"/>
      <c r="K31" s="221"/>
      <c r="L31"/>
      <c r="M31" s="28" t="s">
        <v>3</v>
      </c>
      <c r="N31" s="32">
        <f>B25</f>
        <v>2</v>
      </c>
      <c r="O31" s="28"/>
      <c r="P31"/>
      <c r="Q31" s="221"/>
      <c r="R31"/>
      <c r="S31"/>
      <c r="T31" s="221"/>
      <c r="U31"/>
      <c r="V31" s="28" t="s">
        <v>3</v>
      </c>
      <c r="W31" s="32">
        <f>B25</f>
        <v>2</v>
      </c>
      <c r="X31" s="28"/>
      <c r="Y31"/>
      <c r="Z31" s="221"/>
      <c r="AA31"/>
      <c r="AB31"/>
      <c r="AC31" s="221"/>
      <c r="AD31"/>
      <c r="AE31" s="28" t="s">
        <v>3</v>
      </c>
      <c r="AF31" s="32">
        <f>B25</f>
        <v>2</v>
      </c>
      <c r="AG31" s="28"/>
      <c r="AH31"/>
      <c r="AI31" s="221"/>
      <c r="AJ31"/>
      <c r="AK31"/>
      <c r="AL31" s="221"/>
      <c r="AM31"/>
    </row>
    <row r="32" spans="1:39" s="1" customFormat="1" ht="14.25" x14ac:dyDescent="0.2">
      <c r="A32" s="54" t="s">
        <v>31</v>
      </c>
      <c r="B32" s="52">
        <v>666666666</v>
      </c>
      <c r="C32" s="54" t="s">
        <v>32</v>
      </c>
      <c r="D32" s="63" t="s">
        <v>147</v>
      </c>
      <c r="E32" s="66">
        <f>B52</f>
        <v>55</v>
      </c>
      <c r="F32" s="65" t="s">
        <v>24</v>
      </c>
      <c r="G32" s="28" t="s">
        <v>160</v>
      </c>
      <c r="H32" s="221">
        <f>B50</f>
        <v>2</v>
      </c>
      <c r="I32" t="s">
        <v>203</v>
      </c>
      <c r="J32" s="28" t="s">
        <v>160</v>
      </c>
      <c r="K32" s="221">
        <f>B50</f>
        <v>2</v>
      </c>
      <c r="L32" t="s">
        <v>203</v>
      </c>
      <c r="M32" s="28" t="s">
        <v>27</v>
      </c>
      <c r="N32" s="32">
        <f>B26</f>
        <v>2</v>
      </c>
      <c r="O32" s="28"/>
      <c r="P32" t="s">
        <v>89</v>
      </c>
      <c r="Q32" s="221">
        <f>B58</f>
        <v>5</v>
      </c>
      <c r="R32" t="s">
        <v>203</v>
      </c>
      <c r="S32" t="s">
        <v>89</v>
      </c>
      <c r="T32" s="221">
        <f>B58</f>
        <v>5</v>
      </c>
      <c r="U32" t="s">
        <v>203</v>
      </c>
      <c r="V32" s="28" t="s">
        <v>27</v>
      </c>
      <c r="W32" s="32">
        <f>B26</f>
        <v>2</v>
      </c>
      <c r="X32" s="28"/>
      <c r="Y32" t="s">
        <v>89</v>
      </c>
      <c r="Z32" s="221">
        <f>B67</f>
        <v>5</v>
      </c>
      <c r="AA32" t="s">
        <v>203</v>
      </c>
      <c r="AB32" t="s">
        <v>89</v>
      </c>
      <c r="AC32" s="221">
        <f>B67</f>
        <v>5</v>
      </c>
      <c r="AD32" t="s">
        <v>203</v>
      </c>
      <c r="AE32" s="28" t="s">
        <v>27</v>
      </c>
      <c r="AF32" s="32">
        <f>B26</f>
        <v>2</v>
      </c>
      <c r="AG32" s="28"/>
      <c r="AH32" t="s">
        <v>89</v>
      </c>
      <c r="AI32" s="221">
        <f>B76</f>
        <v>5</v>
      </c>
      <c r="AJ32" t="s">
        <v>203</v>
      </c>
      <c r="AK32" t="s">
        <v>89</v>
      </c>
      <c r="AL32" s="221">
        <f>B76</f>
        <v>5</v>
      </c>
      <c r="AM32" t="s">
        <v>203</v>
      </c>
    </row>
    <row r="33" spans="1:39" s="1" customFormat="1" ht="14.25" x14ac:dyDescent="0.2">
      <c r="A33" s="38" t="s">
        <v>65</v>
      </c>
      <c r="B33" s="42">
        <v>0.38</v>
      </c>
      <c r="C33"/>
      <c r="D33" s="63" t="s">
        <v>146</v>
      </c>
      <c r="E33" s="66">
        <f>B53</f>
        <v>25</v>
      </c>
      <c r="F33" s="65" t="s">
        <v>24</v>
      </c>
      <c r="G33" t="s">
        <v>3</v>
      </c>
      <c r="H33" s="221">
        <f>B25</f>
        <v>2</v>
      </c>
      <c r="I33"/>
      <c r="J33" t="s">
        <v>3</v>
      </c>
      <c r="K33" s="221">
        <f>B25</f>
        <v>2</v>
      </c>
      <c r="L33"/>
      <c r="M33" s="28" t="s">
        <v>29</v>
      </c>
      <c r="N33" s="32">
        <f>B29</f>
        <v>0.4</v>
      </c>
      <c r="O33" s="28"/>
      <c r="P33" t="s">
        <v>3</v>
      </c>
      <c r="Q33" s="221">
        <f>B25</f>
        <v>2</v>
      </c>
      <c r="R33"/>
      <c r="S33" t="s">
        <v>3</v>
      </c>
      <c r="T33" s="221">
        <f>B25</f>
        <v>2</v>
      </c>
      <c r="U33"/>
      <c r="V33" s="28" t="s">
        <v>29</v>
      </c>
      <c r="W33" s="32">
        <f>B29</f>
        <v>0.4</v>
      </c>
      <c r="X33" s="28"/>
      <c r="Y33" t="s">
        <v>3</v>
      </c>
      <c r="Z33" s="221">
        <f>B25</f>
        <v>2</v>
      </c>
      <c r="AA33"/>
      <c r="AB33" t="s">
        <v>3</v>
      </c>
      <c r="AC33" s="221">
        <f>B25</f>
        <v>2</v>
      </c>
      <c r="AD33"/>
      <c r="AE33" s="28" t="s">
        <v>29</v>
      </c>
      <c r="AF33" s="32">
        <f>B29</f>
        <v>0.4</v>
      </c>
      <c r="AG33" s="28"/>
      <c r="AH33" t="s">
        <v>3</v>
      </c>
      <c r="AI33" s="221">
        <f>B25</f>
        <v>2</v>
      </c>
      <c r="AJ33"/>
      <c r="AK33" t="s">
        <v>3</v>
      </c>
      <c r="AL33" s="221">
        <f>B25</f>
        <v>2</v>
      </c>
      <c r="AM33"/>
    </row>
    <row r="34" spans="1:39" s="1" customFormat="1" ht="15" x14ac:dyDescent="0.2">
      <c r="A34" s="426" t="s">
        <v>7</v>
      </c>
      <c r="B34" s="426"/>
      <c r="C34" s="427"/>
      <c r="D34" s="67" t="s">
        <v>151</v>
      </c>
      <c r="E34" s="66">
        <f>B48</f>
        <v>5</v>
      </c>
      <c r="F34" s="65" t="s">
        <v>204</v>
      </c>
      <c r="G34" s="29" t="s">
        <v>27</v>
      </c>
      <c r="H34" s="222">
        <f>B26</f>
        <v>2</v>
      </c>
      <c r="I34" s="29"/>
      <c r="J34" s="29" t="s">
        <v>27</v>
      </c>
      <c r="K34" s="222">
        <f>B26</f>
        <v>2</v>
      </c>
      <c r="L34" s="29"/>
      <c r="M34" s="54" t="s">
        <v>99</v>
      </c>
      <c r="N34" s="32">
        <f>B30</f>
        <v>5</v>
      </c>
      <c r="O34" s="28"/>
      <c r="P34" s="29" t="s">
        <v>27</v>
      </c>
      <c r="Q34" s="222">
        <f>B26</f>
        <v>2</v>
      </c>
      <c r="R34" s="29"/>
      <c r="S34" s="29" t="s">
        <v>27</v>
      </c>
      <c r="T34" s="222">
        <f>B26</f>
        <v>2</v>
      </c>
      <c r="U34" s="29"/>
      <c r="V34" s="54" t="s">
        <v>99</v>
      </c>
      <c r="W34" s="32">
        <f>B30</f>
        <v>5</v>
      </c>
      <c r="X34" s="28"/>
      <c r="Y34" s="29" t="s">
        <v>27</v>
      </c>
      <c r="Z34" s="222">
        <f>B26</f>
        <v>2</v>
      </c>
      <c r="AA34" s="29"/>
      <c r="AB34" s="29" t="s">
        <v>27</v>
      </c>
      <c r="AC34" s="222">
        <f>B26</f>
        <v>2</v>
      </c>
      <c r="AD34" s="29"/>
      <c r="AE34" s="54" t="s">
        <v>99</v>
      </c>
      <c r="AF34" s="32">
        <f>B30</f>
        <v>5</v>
      </c>
      <c r="AG34" s="28"/>
      <c r="AH34" s="29" t="s">
        <v>27</v>
      </c>
      <c r="AI34" s="222">
        <f>B26</f>
        <v>2</v>
      </c>
      <c r="AJ34" s="29"/>
      <c r="AK34" s="29" t="s">
        <v>27</v>
      </c>
      <c r="AL34" s="222">
        <f>B26</f>
        <v>2</v>
      </c>
      <c r="AM34" s="29"/>
    </row>
    <row r="35" spans="1:39" x14ac:dyDescent="0.2">
      <c r="A35" s="40" t="s">
        <v>155</v>
      </c>
      <c r="B35" s="166">
        <v>55</v>
      </c>
      <c r="C35" s="40" t="s">
        <v>202</v>
      </c>
      <c r="D35" s="67" t="s">
        <v>150</v>
      </c>
      <c r="E35" s="66">
        <f>B49</f>
        <v>15</v>
      </c>
      <c r="F35" s="65" t="s">
        <v>204</v>
      </c>
      <c r="G35" s="28" t="s">
        <v>139</v>
      </c>
      <c r="H35" s="221">
        <f>B24</f>
        <v>2</v>
      </c>
      <c r="J35" s="28" t="s">
        <v>139</v>
      </c>
      <c r="K35" s="221">
        <f>B24</f>
        <v>2</v>
      </c>
      <c r="M35" s="54" t="s">
        <v>16</v>
      </c>
      <c r="N35" s="32">
        <f>B31</f>
        <v>0.75</v>
      </c>
      <c r="P35" s="28" t="s">
        <v>139</v>
      </c>
      <c r="Q35" s="221">
        <f>B24</f>
        <v>2</v>
      </c>
      <c r="S35" s="28" t="s">
        <v>139</v>
      </c>
      <c r="T35" s="221">
        <f>B24</f>
        <v>2</v>
      </c>
      <c r="V35" s="54" t="s">
        <v>16</v>
      </c>
      <c r="W35" s="32">
        <f>B31</f>
        <v>0.75</v>
      </c>
      <c r="Y35" s="28" t="s">
        <v>139</v>
      </c>
      <c r="Z35" s="221">
        <f>B24</f>
        <v>2</v>
      </c>
      <c r="AB35" s="28" t="s">
        <v>139</v>
      </c>
      <c r="AC35" s="221">
        <f>B24</f>
        <v>2</v>
      </c>
      <c r="AE35" s="54" t="s">
        <v>16</v>
      </c>
      <c r="AF35" s="32">
        <f>B31</f>
        <v>0.75</v>
      </c>
      <c r="AH35" s="28" t="s">
        <v>139</v>
      </c>
      <c r="AI35" s="221">
        <f>B24</f>
        <v>2</v>
      </c>
      <c r="AK35" s="28" t="s">
        <v>139</v>
      </c>
      <c r="AL35" s="221">
        <f>B24</f>
        <v>2</v>
      </c>
    </row>
    <row r="36" spans="1:39" x14ac:dyDescent="0.2">
      <c r="A36" s="40" t="s">
        <v>156</v>
      </c>
      <c r="B36" s="166">
        <v>55</v>
      </c>
      <c r="C36" s="40" t="s">
        <v>202</v>
      </c>
      <c r="D36" s="63" t="s">
        <v>149</v>
      </c>
      <c r="E36" s="66">
        <f>B47</f>
        <v>10</v>
      </c>
      <c r="F36" s="65" t="s">
        <v>26</v>
      </c>
      <c r="G36" s="28" t="s">
        <v>161</v>
      </c>
      <c r="H36" s="221">
        <f>B51</f>
        <v>20</v>
      </c>
      <c r="J36" s="28" t="s">
        <v>161</v>
      </c>
      <c r="K36" s="221">
        <f>B51</f>
        <v>20</v>
      </c>
      <c r="M36" s="28" t="s">
        <v>30</v>
      </c>
      <c r="N36" s="43">
        <f>B18</f>
        <v>0.46458923512747902</v>
      </c>
      <c r="Q36" s="221"/>
      <c r="T36" s="221"/>
      <c r="V36" s="28" t="s">
        <v>30</v>
      </c>
      <c r="W36" s="43">
        <f>B18</f>
        <v>0.46458923512747902</v>
      </c>
      <c r="Z36" s="221"/>
      <c r="AC36" s="221"/>
      <c r="AE36" s="28" t="s">
        <v>30</v>
      </c>
      <c r="AF36" s="43">
        <f>B18</f>
        <v>0.46458923512747902</v>
      </c>
      <c r="AI36" s="221"/>
      <c r="AL36" s="221"/>
    </row>
    <row r="37" spans="1:39" x14ac:dyDescent="0.2">
      <c r="A37" s="40" t="s">
        <v>157</v>
      </c>
      <c r="B37" s="166">
        <v>55</v>
      </c>
      <c r="C37" s="40" t="s">
        <v>202</v>
      </c>
      <c r="D37" s="68" t="s">
        <v>148</v>
      </c>
      <c r="E37" s="69">
        <f>B46</f>
        <v>5</v>
      </c>
      <c r="F37" s="70" t="s">
        <v>26</v>
      </c>
      <c r="G37" t="s">
        <v>90</v>
      </c>
      <c r="H37" s="221">
        <f>B23</f>
        <v>1.19</v>
      </c>
      <c r="J37" s="38" t="s">
        <v>141</v>
      </c>
      <c r="K37" s="220">
        <f>B17</f>
        <v>0.74157303370786498</v>
      </c>
      <c r="M37" s="54" t="s">
        <v>31</v>
      </c>
      <c r="N37" s="53">
        <f>B32</f>
        <v>666666666</v>
      </c>
      <c r="O37" s="54" t="s">
        <v>32</v>
      </c>
      <c r="P37" s="30" t="s">
        <v>5</v>
      </c>
      <c r="Q37" s="221">
        <f>B23</f>
        <v>1.19</v>
      </c>
      <c r="R37" t="s">
        <v>91</v>
      </c>
      <c r="S37" s="38" t="s">
        <v>141</v>
      </c>
      <c r="T37" s="220">
        <f>B17</f>
        <v>0.74157303370786498</v>
      </c>
      <c r="V37" s="54" t="s">
        <v>31</v>
      </c>
      <c r="W37" s="53">
        <f>B32</f>
        <v>666666666</v>
      </c>
      <c r="X37" s="54" t="s">
        <v>32</v>
      </c>
      <c r="Y37" s="30" t="s">
        <v>5</v>
      </c>
      <c r="Z37" s="221">
        <f>B23</f>
        <v>1.19</v>
      </c>
      <c r="AA37" t="s">
        <v>91</v>
      </c>
      <c r="AB37" s="38" t="s">
        <v>141</v>
      </c>
      <c r="AC37" s="220">
        <f>B17</f>
        <v>0.74157303370786498</v>
      </c>
      <c r="AE37" s="54" t="s">
        <v>31</v>
      </c>
      <c r="AF37" s="53">
        <f>B32</f>
        <v>666666666</v>
      </c>
      <c r="AG37" s="54" t="s">
        <v>32</v>
      </c>
      <c r="AH37" s="30" t="s">
        <v>5</v>
      </c>
      <c r="AI37" s="221">
        <f>B23</f>
        <v>1.19</v>
      </c>
      <c r="AJ37" t="s">
        <v>91</v>
      </c>
      <c r="AK37" s="38" t="s">
        <v>141</v>
      </c>
      <c r="AL37" s="220">
        <f>B17</f>
        <v>0.74157303370786498</v>
      </c>
    </row>
    <row r="38" spans="1:39" x14ac:dyDescent="0.2">
      <c r="A38" s="40" t="s">
        <v>154</v>
      </c>
      <c r="B38" s="42">
        <v>10</v>
      </c>
      <c r="C38" s="40" t="s">
        <v>203</v>
      </c>
      <c r="D38" s="28" t="s">
        <v>125</v>
      </c>
      <c r="E38" s="32">
        <f>B43</f>
        <v>1</v>
      </c>
      <c r="F38" s="28" t="s">
        <v>205</v>
      </c>
      <c r="H38" s="221"/>
      <c r="J38" s="38" t="s">
        <v>142</v>
      </c>
      <c r="K38" s="220">
        <f>B18</f>
        <v>0.46458923512747902</v>
      </c>
      <c r="M38" s="44" t="s">
        <v>98</v>
      </c>
      <c r="N38" s="43">
        <f>PEF!W2</f>
        <v>17636131.202504292</v>
      </c>
      <c r="O38" s="28" t="s">
        <v>34</v>
      </c>
      <c r="Q38" s="221"/>
      <c r="S38" s="38" t="s">
        <v>142</v>
      </c>
      <c r="T38" s="220">
        <f>B18</f>
        <v>0.46458923512747902</v>
      </c>
      <c r="V38" s="44" t="s">
        <v>98</v>
      </c>
      <c r="W38" s="43">
        <f>PEF!W2</f>
        <v>17636131.202504292</v>
      </c>
      <c r="X38" s="28" t="s">
        <v>34</v>
      </c>
      <c r="AB38" s="38" t="s">
        <v>142</v>
      </c>
      <c r="AC38" s="220">
        <f>B18</f>
        <v>0.46458923512747902</v>
      </c>
      <c r="AE38" s="44" t="s">
        <v>98</v>
      </c>
      <c r="AF38" s="43">
        <f>PEF!O2</f>
        <v>1114670.500974617</v>
      </c>
      <c r="AG38" s="28" t="s">
        <v>34</v>
      </c>
      <c r="AI38" s="221"/>
      <c r="AK38" s="38" t="s">
        <v>142</v>
      </c>
      <c r="AL38" s="221">
        <f>B18</f>
        <v>0.46458923512747902</v>
      </c>
    </row>
    <row r="39" spans="1:39" x14ac:dyDescent="0.2">
      <c r="A39" s="40" t="s">
        <v>158</v>
      </c>
      <c r="B39" s="42">
        <v>10</v>
      </c>
      <c r="C39" s="40" t="s">
        <v>203</v>
      </c>
      <c r="D39" s="28" t="s">
        <v>3</v>
      </c>
      <c r="E39" s="32">
        <f>B25</f>
        <v>2</v>
      </c>
      <c r="H39" s="221"/>
      <c r="J39" s="38" t="s">
        <v>143</v>
      </c>
      <c r="K39" s="220">
        <f>B19</f>
        <v>0.65256124721603603</v>
      </c>
      <c r="M39" s="28" t="s">
        <v>33</v>
      </c>
      <c r="N39" s="43">
        <f>PEF!C2</f>
        <v>1365593623.3683286</v>
      </c>
      <c r="O39" s="28" t="s">
        <v>34</v>
      </c>
      <c r="Q39" s="221"/>
      <c r="S39" s="38" t="s">
        <v>143</v>
      </c>
      <c r="T39" s="220">
        <f>B19</f>
        <v>0.65256124721603603</v>
      </c>
      <c r="V39" s="28" t="s">
        <v>33</v>
      </c>
      <c r="W39" s="43">
        <f>PEF!C2</f>
        <v>1365593623.3683286</v>
      </c>
      <c r="X39" s="28" t="s">
        <v>34</v>
      </c>
      <c r="AB39" s="38" t="s">
        <v>143</v>
      </c>
      <c r="AC39" s="220">
        <f>B19</f>
        <v>0.65256124721603603</v>
      </c>
      <c r="AE39" s="28" t="s">
        <v>33</v>
      </c>
      <c r="AF39" s="43">
        <f>PEF!C2</f>
        <v>1365593623.3683286</v>
      </c>
      <c r="AG39" s="28" t="s">
        <v>34</v>
      </c>
      <c r="AI39" s="221"/>
      <c r="AK39" s="38" t="s">
        <v>143</v>
      </c>
      <c r="AL39" s="221">
        <f>B19</f>
        <v>0.65256124721603603</v>
      </c>
    </row>
    <row r="40" spans="1:39" x14ac:dyDescent="0.2">
      <c r="A40" s="40" t="s">
        <v>159</v>
      </c>
      <c r="B40" s="42">
        <v>10</v>
      </c>
      <c r="C40" s="40" t="s">
        <v>203</v>
      </c>
      <c r="D40" s="28" t="s">
        <v>27</v>
      </c>
      <c r="E40" s="32">
        <f>B26</f>
        <v>2</v>
      </c>
      <c r="H40" s="221"/>
      <c r="J40" s="38" t="s">
        <v>144</v>
      </c>
      <c r="K40" s="220">
        <f>B20</f>
        <v>0.726277372262774</v>
      </c>
      <c r="M40" s="28" t="s">
        <v>102</v>
      </c>
      <c r="N40" s="32">
        <f>B22</f>
        <v>137</v>
      </c>
      <c r="O40" s="28" t="s">
        <v>103</v>
      </c>
      <c r="Q40" s="221"/>
      <c r="S40" s="38" t="s">
        <v>144</v>
      </c>
      <c r="T40" s="220">
        <f>B20</f>
        <v>0.726277372262774</v>
      </c>
      <c r="V40" s="28" t="s">
        <v>102</v>
      </c>
      <c r="W40" s="32">
        <f>B22</f>
        <v>137</v>
      </c>
      <c r="X40" s="28" t="s">
        <v>103</v>
      </c>
      <c r="AB40" s="38" t="s">
        <v>144</v>
      </c>
      <c r="AC40" s="220">
        <f>B20</f>
        <v>0.726277372262774</v>
      </c>
      <c r="AE40" s="28" t="s">
        <v>102</v>
      </c>
      <c r="AF40" s="32">
        <f>B22</f>
        <v>137</v>
      </c>
      <c r="AG40" s="28" t="s">
        <v>103</v>
      </c>
      <c r="AI40" s="221"/>
      <c r="AK40" s="38" t="s">
        <v>144</v>
      </c>
      <c r="AL40" s="221">
        <f>B20</f>
        <v>0.726277372262774</v>
      </c>
    </row>
    <row r="41" spans="1:39" x14ac:dyDescent="0.2">
      <c r="A41" s="40" t="s">
        <v>152</v>
      </c>
      <c r="B41" s="42">
        <v>10</v>
      </c>
      <c r="C41" s="40" t="s">
        <v>203</v>
      </c>
      <c r="D41" s="28" t="s">
        <v>160</v>
      </c>
      <c r="E41" s="32">
        <f>B50</f>
        <v>2</v>
      </c>
      <c r="F41" s="28" t="s">
        <v>203</v>
      </c>
      <c r="H41" s="221"/>
      <c r="J41" s="38" t="s">
        <v>145</v>
      </c>
      <c r="K41" s="220">
        <f>B21</f>
        <v>0.73648648648648596</v>
      </c>
      <c r="M41" s="28" t="s">
        <v>100</v>
      </c>
      <c r="N41" s="207">
        <v>27.027027027027</v>
      </c>
      <c r="O41" s="28" t="s">
        <v>101</v>
      </c>
      <c r="Q41" s="221"/>
      <c r="S41" s="38" t="s">
        <v>145</v>
      </c>
      <c r="T41" s="220">
        <f>B21</f>
        <v>0.73648648648648596</v>
      </c>
      <c r="V41" s="28" t="s">
        <v>100</v>
      </c>
      <c r="W41" s="207">
        <v>27.027027027027</v>
      </c>
      <c r="X41" s="28" t="s">
        <v>101</v>
      </c>
      <c r="AB41" s="38" t="s">
        <v>145</v>
      </c>
      <c r="AC41" s="220">
        <f>B21</f>
        <v>0.73648648648648596</v>
      </c>
      <c r="AE41" s="28" t="s">
        <v>100</v>
      </c>
      <c r="AF41" s="207">
        <v>27.027027027027</v>
      </c>
      <c r="AG41" s="28" t="s">
        <v>101</v>
      </c>
      <c r="AI41" s="221"/>
      <c r="AK41" s="38" t="s">
        <v>145</v>
      </c>
      <c r="AL41" s="221">
        <f>B21</f>
        <v>0.73648648648648596</v>
      </c>
    </row>
    <row r="42" spans="1:39" x14ac:dyDescent="0.2">
      <c r="A42" s="40" t="s">
        <v>153</v>
      </c>
      <c r="B42" s="42">
        <v>10</v>
      </c>
      <c r="C42" s="40" t="s">
        <v>203</v>
      </c>
      <c r="D42" s="28" t="s">
        <v>161</v>
      </c>
      <c r="E42" s="32">
        <f>B51</f>
        <v>20</v>
      </c>
      <c r="F42" s="28" t="s">
        <v>203</v>
      </c>
      <c r="G42" s="28" t="s">
        <v>100</v>
      </c>
      <c r="H42" s="207">
        <v>27.027027027027</v>
      </c>
      <c r="I42" s="28" t="s">
        <v>101</v>
      </c>
      <c r="J42" s="28" t="s">
        <v>100</v>
      </c>
      <c r="K42" s="207">
        <v>27.027027027027</v>
      </c>
      <c r="L42" s="28" t="s">
        <v>101</v>
      </c>
      <c r="M42" s="28" t="s">
        <v>104</v>
      </c>
      <c r="N42" s="32">
        <f>2.8*(10^(-15))</f>
        <v>2.8000000000000001E-15</v>
      </c>
      <c r="P42" s="28" t="s">
        <v>100</v>
      </c>
      <c r="Q42" s="207">
        <v>27.027027027027</v>
      </c>
      <c r="R42" s="28" t="s">
        <v>101</v>
      </c>
      <c r="S42" s="28" t="s">
        <v>100</v>
      </c>
      <c r="T42" s="207">
        <v>27.027027027027</v>
      </c>
      <c r="U42" s="28" t="s">
        <v>101</v>
      </c>
      <c r="V42" s="28" t="s">
        <v>104</v>
      </c>
      <c r="W42" s="32">
        <f>2.8*(10^(-15))</f>
        <v>2.8000000000000001E-15</v>
      </c>
      <c r="Y42" s="28" t="s">
        <v>100</v>
      </c>
      <c r="Z42" s="207">
        <v>27.027027027027</v>
      </c>
      <c r="AA42" s="28" t="s">
        <v>101</v>
      </c>
      <c r="AB42" s="28" t="s">
        <v>100</v>
      </c>
      <c r="AC42" s="207">
        <v>27.027027027027</v>
      </c>
      <c r="AD42" s="28" t="s">
        <v>101</v>
      </c>
      <c r="AE42" s="28" t="s">
        <v>104</v>
      </c>
      <c r="AF42" s="32">
        <f>2.8*(10^(-15))</f>
        <v>2.8000000000000001E-15</v>
      </c>
      <c r="AH42" s="28" t="s">
        <v>100</v>
      </c>
      <c r="AI42" s="207">
        <v>27.027027027027</v>
      </c>
      <c r="AJ42" s="28" t="s">
        <v>101</v>
      </c>
      <c r="AK42" s="28" t="s">
        <v>100</v>
      </c>
      <c r="AL42" s="207">
        <v>27.027027027027</v>
      </c>
      <c r="AM42" s="28" t="s">
        <v>101</v>
      </c>
    </row>
    <row r="43" spans="1:39" x14ac:dyDescent="0.2">
      <c r="A43" s="40" t="s">
        <v>125</v>
      </c>
      <c r="B43" s="42">
        <v>1</v>
      </c>
      <c r="C43" s="40" t="s">
        <v>10</v>
      </c>
      <c r="D43" s="28" t="s">
        <v>29</v>
      </c>
      <c r="E43" s="32">
        <f>B29</f>
        <v>0.4</v>
      </c>
      <c r="G43" s="28" t="s">
        <v>102</v>
      </c>
      <c r="H43" s="32">
        <f>B22</f>
        <v>137</v>
      </c>
      <c r="I43" s="28" t="s">
        <v>103</v>
      </c>
      <c r="J43" s="28" t="s">
        <v>102</v>
      </c>
      <c r="K43" s="32">
        <f>B22</f>
        <v>137</v>
      </c>
      <c r="L43" s="28" t="s">
        <v>103</v>
      </c>
      <c r="P43" s="28" t="s">
        <v>102</v>
      </c>
      <c r="Q43" s="32">
        <f>B22</f>
        <v>137</v>
      </c>
      <c r="R43" s="28" t="s">
        <v>103</v>
      </c>
      <c r="S43" s="28" t="s">
        <v>102</v>
      </c>
      <c r="T43" s="32">
        <f>B22</f>
        <v>137</v>
      </c>
      <c r="U43" s="28" t="s">
        <v>103</v>
      </c>
      <c r="Y43" s="28" t="s">
        <v>102</v>
      </c>
      <c r="Z43" s="32">
        <f>B22</f>
        <v>137</v>
      </c>
      <c r="AA43" s="28" t="s">
        <v>103</v>
      </c>
      <c r="AB43" s="28" t="s">
        <v>102</v>
      </c>
      <c r="AC43" s="32">
        <f>B22</f>
        <v>137</v>
      </c>
      <c r="AD43" s="28" t="s">
        <v>103</v>
      </c>
      <c r="AH43" s="28" t="s">
        <v>102</v>
      </c>
      <c r="AI43" s="32">
        <f>B22</f>
        <v>137</v>
      </c>
      <c r="AJ43" s="28" t="s">
        <v>103</v>
      </c>
      <c r="AK43" s="28" t="s">
        <v>102</v>
      </c>
      <c r="AL43" s="32">
        <f>B22</f>
        <v>137</v>
      </c>
      <c r="AM43" s="28" t="s">
        <v>103</v>
      </c>
    </row>
    <row r="44" spans="1:39" x14ac:dyDescent="0.2">
      <c r="A44" s="40" t="s">
        <v>146</v>
      </c>
      <c r="B44" s="42">
        <v>25</v>
      </c>
      <c r="C44" s="40" t="s">
        <v>120</v>
      </c>
      <c r="D44" s="54" t="s">
        <v>99</v>
      </c>
      <c r="E44" s="32">
        <f>B30</f>
        <v>5</v>
      </c>
      <c r="G44" s="28" t="s">
        <v>104</v>
      </c>
      <c r="H44" s="32">
        <f>2.8*(10^(-12))</f>
        <v>2.7999999999999998E-12</v>
      </c>
      <c r="I44" s="28"/>
      <c r="J44" s="28" t="s">
        <v>104</v>
      </c>
      <c r="K44" s="32">
        <f>2.8*(10^(-12))</f>
        <v>2.7999999999999998E-12</v>
      </c>
      <c r="L44" s="28"/>
      <c r="P44" s="28" t="s">
        <v>104</v>
      </c>
      <c r="Q44" s="32">
        <f>2.8*(10^(-12))</f>
        <v>2.7999999999999998E-12</v>
      </c>
      <c r="R44" s="28"/>
      <c r="S44" s="28" t="s">
        <v>104</v>
      </c>
      <c r="T44" s="32">
        <f>2.8*(10^(-12))</f>
        <v>2.7999999999999998E-12</v>
      </c>
      <c r="U44" s="28"/>
      <c r="Y44" s="28" t="s">
        <v>104</v>
      </c>
      <c r="Z44" s="32">
        <f>2.8*(10^(-12))</f>
        <v>2.7999999999999998E-12</v>
      </c>
      <c r="AA44" s="28"/>
      <c r="AB44" s="28" t="s">
        <v>104</v>
      </c>
      <c r="AC44" s="32">
        <f>2.8*(10^(-12))</f>
        <v>2.7999999999999998E-12</v>
      </c>
      <c r="AD44" s="28"/>
      <c r="AH44" s="28" t="s">
        <v>104</v>
      </c>
      <c r="AI44" s="32">
        <f>2.8*(10^(-12))</f>
        <v>2.7999999999999998E-12</v>
      </c>
      <c r="AJ44" s="28"/>
      <c r="AK44" s="28" t="s">
        <v>104</v>
      </c>
      <c r="AL44" s="32">
        <f>2.8*(10^(-12))</f>
        <v>2.7999999999999998E-12</v>
      </c>
      <c r="AM44" s="28"/>
    </row>
    <row r="45" spans="1:39" x14ac:dyDescent="0.2">
      <c r="A45" s="40" t="s">
        <v>147</v>
      </c>
      <c r="B45" s="42">
        <v>75</v>
      </c>
      <c r="C45" s="40" t="s">
        <v>120</v>
      </c>
      <c r="D45" s="54" t="s">
        <v>16</v>
      </c>
      <c r="E45" s="32">
        <f>B31</f>
        <v>0.75</v>
      </c>
      <c r="G45" s="28" t="s">
        <v>104</v>
      </c>
      <c r="H45" s="32">
        <f>2.8*(10^(-15))</f>
        <v>2.8000000000000001E-15</v>
      </c>
      <c r="J45" s="28" t="s">
        <v>104</v>
      </c>
      <c r="K45" s="32">
        <f>2.8*(10^(-15))</f>
        <v>2.8000000000000001E-15</v>
      </c>
      <c r="P45" s="28" t="s">
        <v>104</v>
      </c>
      <c r="Q45" s="32">
        <f>2.8*(10^(-15))</f>
        <v>2.8000000000000001E-15</v>
      </c>
      <c r="S45" s="28" t="s">
        <v>104</v>
      </c>
      <c r="T45" s="32">
        <f>2.8*(10^(-15))</f>
        <v>2.8000000000000001E-15</v>
      </c>
      <c r="Y45" s="28" t="s">
        <v>104</v>
      </c>
      <c r="Z45" s="32">
        <f>2.8*(10^(-15))</f>
        <v>2.8000000000000001E-15</v>
      </c>
      <c r="AB45" s="28" t="s">
        <v>104</v>
      </c>
      <c r="AC45" s="32">
        <f>2.8*(10^(-15))</f>
        <v>2.8000000000000001E-15</v>
      </c>
      <c r="AH45" s="28" t="s">
        <v>104</v>
      </c>
      <c r="AI45" s="32">
        <f>2.8*(10^(-15))</f>
        <v>2.8000000000000001E-15</v>
      </c>
      <c r="AK45" s="28" t="s">
        <v>104</v>
      </c>
      <c r="AL45" s="32">
        <f>2.8*(10^(-15))</f>
        <v>2.8000000000000001E-15</v>
      </c>
    </row>
    <row r="46" spans="1:39" x14ac:dyDescent="0.2">
      <c r="A46" s="40" t="s">
        <v>148</v>
      </c>
      <c r="B46" s="42">
        <v>5</v>
      </c>
      <c r="C46" s="40" t="s">
        <v>121</v>
      </c>
      <c r="D46" s="28" t="s">
        <v>30</v>
      </c>
      <c r="E46" s="43">
        <f>B18</f>
        <v>0.46458923512747902</v>
      </c>
      <c r="Z46" s="221"/>
      <c r="AC46" s="221"/>
    </row>
    <row r="47" spans="1:39" x14ac:dyDescent="0.2">
      <c r="A47" s="40" t="s">
        <v>149</v>
      </c>
      <c r="B47" s="42">
        <v>10</v>
      </c>
      <c r="C47" s="40" t="s">
        <v>121</v>
      </c>
      <c r="D47" s="54" t="s">
        <v>31</v>
      </c>
      <c r="E47" s="53">
        <f>B32</f>
        <v>666666666</v>
      </c>
      <c r="F47" s="54" t="s">
        <v>32</v>
      </c>
      <c r="I47" s="258" t="s">
        <v>197</v>
      </c>
    </row>
    <row r="48" spans="1:39" x14ac:dyDescent="0.2">
      <c r="A48" s="40" t="s">
        <v>151</v>
      </c>
      <c r="B48" s="55">
        <v>5</v>
      </c>
      <c r="C48" s="28" t="s">
        <v>204</v>
      </c>
      <c r="D48" s="44" t="s">
        <v>98</v>
      </c>
      <c r="E48" s="43">
        <f>PEF!Q2</f>
        <v>37012232.751917742</v>
      </c>
      <c r="F48" s="28" t="s">
        <v>34</v>
      </c>
      <c r="I48" s="258">
        <v>200</v>
      </c>
    </row>
    <row r="49" spans="1:6" x14ac:dyDescent="0.2">
      <c r="A49" s="40" t="s">
        <v>150</v>
      </c>
      <c r="B49" s="55">
        <v>15</v>
      </c>
      <c r="C49" s="28" t="s">
        <v>204</v>
      </c>
      <c r="D49" s="28" t="s">
        <v>33</v>
      </c>
      <c r="E49" s="43">
        <f>PEF!C2</f>
        <v>1365593623.3683286</v>
      </c>
      <c r="F49" s="28" t="s">
        <v>34</v>
      </c>
    </row>
    <row r="50" spans="1:6" x14ac:dyDescent="0.2">
      <c r="A50" s="28" t="s">
        <v>160</v>
      </c>
      <c r="B50" s="55">
        <v>2</v>
      </c>
      <c r="C50" s="28" t="s">
        <v>203</v>
      </c>
      <c r="D50" s="28" t="s">
        <v>102</v>
      </c>
      <c r="E50" s="32">
        <f>B22</f>
        <v>137</v>
      </c>
      <c r="F50" s="28" t="s">
        <v>103</v>
      </c>
    </row>
    <row r="51" spans="1:6" x14ac:dyDescent="0.2">
      <c r="A51" s="28" t="s">
        <v>161</v>
      </c>
      <c r="B51" s="55">
        <v>20</v>
      </c>
      <c r="C51" s="28" t="s">
        <v>203</v>
      </c>
      <c r="D51" s="28" t="s">
        <v>100</v>
      </c>
      <c r="E51" s="207">
        <v>27.027027027027</v>
      </c>
      <c r="F51" s="28" t="s">
        <v>101</v>
      </c>
    </row>
    <row r="52" spans="1:6" x14ac:dyDescent="0.2">
      <c r="A52" s="28" t="s">
        <v>147</v>
      </c>
      <c r="B52" s="55">
        <v>55</v>
      </c>
      <c r="C52" s="28" t="s">
        <v>24</v>
      </c>
      <c r="D52" s="28" t="s">
        <v>104</v>
      </c>
      <c r="E52" s="32">
        <f>2.8*(10^(-15))</f>
        <v>2.8000000000000001E-15</v>
      </c>
    </row>
    <row r="53" spans="1:6" x14ac:dyDescent="0.2">
      <c r="A53" s="28" t="s">
        <v>146</v>
      </c>
      <c r="B53" s="55">
        <v>25</v>
      </c>
      <c r="C53" s="28" t="s">
        <v>24</v>
      </c>
    </row>
    <row r="54" spans="1:6" x14ac:dyDescent="0.2">
      <c r="A54" s="28" t="s">
        <v>163</v>
      </c>
      <c r="B54" s="55">
        <v>0.77</v>
      </c>
      <c r="C54" s="28"/>
      <c r="F54" s="31" t="s">
        <v>196</v>
      </c>
    </row>
    <row r="55" spans="1:6" x14ac:dyDescent="0.2">
      <c r="A55" s="28" t="s">
        <v>164</v>
      </c>
      <c r="B55" s="55">
        <v>0.23</v>
      </c>
      <c r="C55" s="28"/>
      <c r="F55" s="31" t="s">
        <v>95</v>
      </c>
    </row>
    <row r="56" spans="1:6" ht="15" x14ac:dyDescent="0.2">
      <c r="A56" s="428" t="s">
        <v>180</v>
      </c>
      <c r="B56" s="428"/>
      <c r="C56" s="428"/>
      <c r="F56" s="31" t="s">
        <v>96</v>
      </c>
    </row>
    <row r="57" spans="1:6" x14ac:dyDescent="0.2">
      <c r="A57" s="40" t="s">
        <v>133</v>
      </c>
      <c r="B57" s="166">
        <v>55</v>
      </c>
      <c r="C57" s="40" t="s">
        <v>202</v>
      </c>
      <c r="F57" s="31" t="s">
        <v>97</v>
      </c>
    </row>
    <row r="58" spans="1:6" x14ac:dyDescent="0.2">
      <c r="A58" s="40" t="s">
        <v>122</v>
      </c>
      <c r="B58" s="42">
        <v>5</v>
      </c>
      <c r="C58" s="40" t="s">
        <v>203</v>
      </c>
    </row>
    <row r="59" spans="1:6" x14ac:dyDescent="0.2">
      <c r="A59" s="40" t="s">
        <v>185</v>
      </c>
      <c r="B59" s="42">
        <v>5</v>
      </c>
      <c r="C59" s="40" t="s">
        <v>203</v>
      </c>
    </row>
    <row r="60" spans="1:6" x14ac:dyDescent="0.2">
      <c r="A60" s="40" t="s">
        <v>186</v>
      </c>
      <c r="B60" s="42">
        <v>5</v>
      </c>
      <c r="C60" s="40" t="s">
        <v>203</v>
      </c>
    </row>
    <row r="61" spans="1:6" x14ac:dyDescent="0.2">
      <c r="A61" s="40" t="s">
        <v>135</v>
      </c>
      <c r="B61" s="42">
        <v>1</v>
      </c>
      <c r="C61" s="40" t="s">
        <v>10</v>
      </c>
    </row>
    <row r="62" spans="1:6" x14ac:dyDescent="0.2">
      <c r="A62" s="40" t="s">
        <v>136</v>
      </c>
      <c r="B62" s="42">
        <v>55</v>
      </c>
      <c r="C62" s="40" t="s">
        <v>120</v>
      </c>
    </row>
    <row r="63" spans="1:6" x14ac:dyDescent="0.2">
      <c r="A63" s="40" t="s">
        <v>134</v>
      </c>
      <c r="B63" s="42">
        <v>5</v>
      </c>
      <c r="C63" s="40" t="s">
        <v>121</v>
      </c>
    </row>
    <row r="64" spans="1:6" x14ac:dyDescent="0.2">
      <c r="A64" s="40" t="s">
        <v>137</v>
      </c>
      <c r="B64" s="42">
        <v>5</v>
      </c>
      <c r="C64" s="40" t="s">
        <v>204</v>
      </c>
    </row>
    <row r="65" spans="1:3" ht="15" x14ac:dyDescent="0.2">
      <c r="A65" s="429" t="s">
        <v>181</v>
      </c>
      <c r="B65" s="429"/>
      <c r="C65" s="429"/>
    </row>
    <row r="66" spans="1:3" x14ac:dyDescent="0.2">
      <c r="A66" s="40" t="s">
        <v>128</v>
      </c>
      <c r="B66" s="166">
        <v>55</v>
      </c>
      <c r="C66" s="40" t="s">
        <v>202</v>
      </c>
    </row>
    <row r="67" spans="1:3" x14ac:dyDescent="0.2">
      <c r="A67" s="40" t="s">
        <v>122</v>
      </c>
      <c r="B67" s="42">
        <v>5</v>
      </c>
      <c r="C67" s="40" t="s">
        <v>203</v>
      </c>
    </row>
    <row r="68" spans="1:3" x14ac:dyDescent="0.2">
      <c r="A68" s="40" t="s">
        <v>183</v>
      </c>
      <c r="B68" s="42">
        <v>5</v>
      </c>
      <c r="C68" s="40" t="s">
        <v>203</v>
      </c>
    </row>
    <row r="69" spans="1:3" x14ac:dyDescent="0.2">
      <c r="A69" s="40" t="s">
        <v>184</v>
      </c>
      <c r="B69" s="42">
        <v>5</v>
      </c>
      <c r="C69" s="40" t="s">
        <v>203</v>
      </c>
    </row>
    <row r="70" spans="1:3" x14ac:dyDescent="0.2">
      <c r="A70" s="40" t="s">
        <v>129</v>
      </c>
      <c r="B70" s="42">
        <v>1</v>
      </c>
      <c r="C70" s="40" t="s">
        <v>10</v>
      </c>
    </row>
    <row r="71" spans="1:3" x14ac:dyDescent="0.2">
      <c r="A71" s="40" t="s">
        <v>130</v>
      </c>
      <c r="B71" s="42">
        <v>55</v>
      </c>
      <c r="C71" s="40" t="s">
        <v>120</v>
      </c>
    </row>
    <row r="72" spans="1:3" x14ac:dyDescent="0.2">
      <c r="A72" s="40" t="s">
        <v>127</v>
      </c>
      <c r="B72" s="42">
        <v>5</v>
      </c>
      <c r="C72" s="40" t="s">
        <v>121</v>
      </c>
    </row>
    <row r="73" spans="1:3" x14ac:dyDescent="0.2">
      <c r="A73" s="40" t="s">
        <v>131</v>
      </c>
      <c r="B73" s="42">
        <v>5</v>
      </c>
      <c r="C73" s="40" t="s">
        <v>204</v>
      </c>
    </row>
    <row r="74" spans="1:3" ht="15" x14ac:dyDescent="0.2">
      <c r="A74" s="430" t="s">
        <v>182</v>
      </c>
      <c r="B74" s="430"/>
      <c r="C74" s="430"/>
    </row>
    <row r="75" spans="1:3" x14ac:dyDescent="0.2">
      <c r="A75" s="40" t="s">
        <v>13</v>
      </c>
      <c r="B75" s="166">
        <v>55</v>
      </c>
      <c r="C75" s="40" t="s">
        <v>202</v>
      </c>
    </row>
    <row r="76" spans="1:3" x14ac:dyDescent="0.2">
      <c r="A76" s="40" t="s">
        <v>122</v>
      </c>
      <c r="B76" s="42">
        <v>5</v>
      </c>
      <c r="C76" s="40" t="s">
        <v>203</v>
      </c>
    </row>
    <row r="77" spans="1:3" x14ac:dyDescent="0.2">
      <c r="A77" s="40" t="s">
        <v>123</v>
      </c>
      <c r="B77" s="42">
        <v>5</v>
      </c>
      <c r="C77" s="40" t="s">
        <v>203</v>
      </c>
    </row>
    <row r="78" spans="1:3" x14ac:dyDescent="0.2">
      <c r="A78" s="40" t="s">
        <v>124</v>
      </c>
      <c r="B78" s="42">
        <v>5</v>
      </c>
      <c r="C78" s="40" t="s">
        <v>203</v>
      </c>
    </row>
    <row r="79" spans="1:3" x14ac:dyDescent="0.2">
      <c r="A79" s="40" t="s">
        <v>15</v>
      </c>
      <c r="B79" s="42">
        <v>1</v>
      </c>
      <c r="C79" s="40" t="s">
        <v>10</v>
      </c>
    </row>
    <row r="80" spans="1:3" x14ac:dyDescent="0.2">
      <c r="A80" s="40" t="s">
        <v>17</v>
      </c>
      <c r="B80" s="42">
        <v>55</v>
      </c>
      <c r="C80" s="40" t="s">
        <v>120</v>
      </c>
    </row>
    <row r="81" spans="1:3" x14ac:dyDescent="0.2">
      <c r="A81" s="40" t="s">
        <v>12</v>
      </c>
      <c r="B81" s="42">
        <v>5</v>
      </c>
      <c r="C81" s="40" t="s">
        <v>121</v>
      </c>
    </row>
    <row r="82" spans="1:3" x14ac:dyDescent="0.2">
      <c r="A82" s="40" t="s">
        <v>18</v>
      </c>
      <c r="B82" s="42">
        <v>5</v>
      </c>
      <c r="C82" s="40" t="s">
        <v>204</v>
      </c>
    </row>
    <row r="105" spans="1:1" x14ac:dyDescent="0.2">
      <c r="A105" s="28"/>
    </row>
    <row r="106" spans="1:1" x14ac:dyDescent="0.2">
      <c r="A106" s="28"/>
    </row>
  </sheetData>
  <mergeCells count="18">
    <mergeCell ref="A74:C74"/>
    <mergeCell ref="D1:F1"/>
    <mergeCell ref="G1:I1"/>
    <mergeCell ref="J1:L1"/>
    <mergeCell ref="A34:C34"/>
    <mergeCell ref="A56:C56"/>
    <mergeCell ref="A2:C5"/>
    <mergeCell ref="AE1:AG1"/>
    <mergeCell ref="A65:C65"/>
    <mergeCell ref="AH1:AJ1"/>
    <mergeCell ref="AK1:AM1"/>
    <mergeCell ref="A1:C1"/>
    <mergeCell ref="P1:R1"/>
    <mergeCell ref="S1:U1"/>
    <mergeCell ref="V1:X1"/>
    <mergeCell ref="Y1:AA1"/>
    <mergeCell ref="AB1:AD1"/>
    <mergeCell ref="M1:O1"/>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06"/>
  <sheetViews>
    <sheetView zoomScale="80" zoomScaleNormal="80" workbookViewId="0">
      <pane xSplit="3" ySplit="1" topLeftCell="D2" activePane="bottomRight" state="frozen"/>
      <selection pane="topRight" activeCell="D1" sqref="D1"/>
      <selection pane="bottomLeft" activeCell="A2" sqref="A2"/>
      <selection pane="bottomRight" sqref="A1:C1"/>
    </sheetView>
  </sheetViews>
  <sheetFormatPr defaultRowHeight="12.75" x14ac:dyDescent="0.2"/>
  <cols>
    <col min="1" max="1" width="13.7109375" bestFit="1" customWidth="1"/>
    <col min="2" max="2" width="9.28515625" bestFit="1" customWidth="1"/>
    <col min="3" max="3" width="21" bestFit="1" customWidth="1"/>
    <col min="4" max="4" width="12.28515625" style="28" bestFit="1" customWidth="1"/>
    <col min="5" max="5" width="9.28515625" style="32" bestFit="1" customWidth="1"/>
    <col min="6" max="6" width="20.5703125" style="28" bestFit="1" customWidth="1"/>
    <col min="7" max="7" width="13.7109375" bestFit="1" customWidth="1"/>
    <col min="8" max="8" width="9.28515625" bestFit="1" customWidth="1"/>
    <col min="9" max="9" width="21" bestFit="1" customWidth="1"/>
    <col min="10" max="10" width="13.7109375" bestFit="1" customWidth="1"/>
    <col min="11" max="11" width="9.28515625" bestFit="1" customWidth="1"/>
    <col min="12" max="12" width="21" bestFit="1" customWidth="1"/>
    <col min="13" max="13" width="12.28515625" style="28" bestFit="1" customWidth="1"/>
    <col min="14" max="14" width="9.28515625" style="32" bestFit="1" customWidth="1"/>
    <col min="15" max="15" width="20.5703125" style="28" bestFit="1" customWidth="1"/>
    <col min="16" max="16" width="13.7109375" bestFit="1" customWidth="1"/>
    <col min="17" max="17" width="9.28515625" bestFit="1" customWidth="1"/>
    <col min="18" max="18" width="21" bestFit="1" customWidth="1"/>
    <col min="19" max="19" width="13.7109375" bestFit="1" customWidth="1"/>
    <col min="20" max="20" width="9.28515625" bestFit="1" customWidth="1"/>
    <col min="21" max="21" width="21" bestFit="1" customWidth="1"/>
    <col min="22" max="22" width="12.28515625" style="28" bestFit="1" customWidth="1"/>
    <col min="23" max="23" width="9.28515625" style="28" bestFit="1" customWidth="1"/>
    <col min="24" max="24" width="20.5703125" style="28" bestFit="1" customWidth="1"/>
    <col min="25" max="25" width="13.7109375" bestFit="1" customWidth="1"/>
    <col min="26" max="26" width="9.28515625" bestFit="1" customWidth="1"/>
    <col min="27" max="27" width="21" bestFit="1" customWidth="1"/>
    <col min="28" max="28" width="13.7109375" bestFit="1" customWidth="1"/>
    <col min="29" max="29" width="9.28515625" bestFit="1" customWidth="1"/>
    <col min="30" max="30" width="21" bestFit="1" customWidth="1"/>
    <col min="31" max="31" width="12.28515625" style="28" bestFit="1" customWidth="1"/>
    <col min="32" max="32" width="9.28515625" style="32" bestFit="1" customWidth="1"/>
    <col min="33" max="33" width="20.5703125" style="28" bestFit="1" customWidth="1"/>
    <col min="34" max="34" width="13.7109375" bestFit="1" customWidth="1"/>
    <col min="35" max="35" width="9.28515625" bestFit="1" customWidth="1"/>
    <col min="36" max="36" width="21" bestFit="1" customWidth="1"/>
    <col min="37" max="37" width="13.7109375" bestFit="1" customWidth="1"/>
    <col min="38" max="38" width="13" bestFit="1" customWidth="1"/>
    <col min="39" max="39" width="21" bestFit="1" customWidth="1"/>
  </cols>
  <sheetData>
    <row r="1" spans="1:39" ht="21.75" thickTop="1" thickBot="1" x14ac:dyDescent="0.3">
      <c r="A1" s="393" t="s">
        <v>19</v>
      </c>
      <c r="B1" s="394"/>
      <c r="C1" s="395"/>
      <c r="D1" s="431" t="s">
        <v>171</v>
      </c>
      <c r="E1" s="432"/>
      <c r="F1" s="433"/>
      <c r="G1" s="434" t="s">
        <v>187</v>
      </c>
      <c r="H1" s="432"/>
      <c r="I1" s="433"/>
      <c r="J1" s="434" t="s">
        <v>188</v>
      </c>
      <c r="K1" s="432"/>
      <c r="L1" s="433"/>
      <c r="M1" s="420" t="s">
        <v>172</v>
      </c>
      <c r="N1" s="421"/>
      <c r="O1" s="422"/>
      <c r="P1" s="420" t="s">
        <v>189</v>
      </c>
      <c r="Q1" s="421"/>
      <c r="R1" s="422"/>
      <c r="S1" s="420" t="s">
        <v>168</v>
      </c>
      <c r="T1" s="421"/>
      <c r="U1" s="422"/>
      <c r="V1" s="423" t="s">
        <v>173</v>
      </c>
      <c r="W1" s="424"/>
      <c r="X1" s="425"/>
      <c r="Y1" s="423" t="s">
        <v>190</v>
      </c>
      <c r="Z1" s="424"/>
      <c r="AA1" s="425"/>
      <c r="AB1" s="423" t="s">
        <v>169</v>
      </c>
      <c r="AC1" s="424"/>
      <c r="AD1" s="425"/>
      <c r="AE1" s="417" t="s">
        <v>174</v>
      </c>
      <c r="AF1" s="418"/>
      <c r="AG1" s="419"/>
      <c r="AH1" s="417" t="s">
        <v>191</v>
      </c>
      <c r="AI1" s="418"/>
      <c r="AJ1" s="419"/>
      <c r="AK1" s="417" t="s">
        <v>170</v>
      </c>
      <c r="AL1" s="418"/>
      <c r="AM1" s="419"/>
    </row>
    <row r="2" spans="1:39" s="1" customFormat="1" ht="15" thickTop="1" x14ac:dyDescent="0.2">
      <c r="A2" s="384" t="s">
        <v>112</v>
      </c>
      <c r="B2" s="385"/>
      <c r="C2" s="386"/>
      <c r="D2" s="318" t="s">
        <v>175</v>
      </c>
      <c r="E2" s="325">
        <f>1/((1/E17)+(1/E18)+(1/E20))</f>
        <v>2.6073194677054953E-3</v>
      </c>
      <c r="F2" s="273" t="s">
        <v>176</v>
      </c>
      <c r="G2" s="84" t="s">
        <v>82</v>
      </c>
      <c r="H2" s="232">
        <f>(H17*H18*H19)/(H20*H22*H35*H33*H34*H37*H27*(1/365)*((H32*H30)+(H36*H29))*(1/24))</f>
        <v>6.5426178759327033E-2</v>
      </c>
      <c r="I2" s="49" t="s">
        <v>108</v>
      </c>
      <c r="J2" s="84" t="s">
        <v>82</v>
      </c>
      <c r="K2" s="232">
        <f>(K17*K18*K19)/(K20*K22*K35*K33*K34*K37*K27*(1/365)*((K32*K30)+(K36*K29))*(1/24))</f>
        <v>9.649663622590475E-2</v>
      </c>
      <c r="L2" s="49" t="s">
        <v>108</v>
      </c>
      <c r="M2" s="319" t="s">
        <v>175</v>
      </c>
      <c r="N2" s="327">
        <f>1/((1/N17)+(1/N18)+(1/N20))</f>
        <v>5.945855921109472E-4</v>
      </c>
      <c r="O2" s="266" t="s">
        <v>176</v>
      </c>
      <c r="P2" s="91" t="s">
        <v>82</v>
      </c>
      <c r="Q2" s="229">
        <f>(Q17*Q18*Q19)/(Q20*Q22*Q30*Q35*Q33*Q34*Q37*Q32*(1/24)*Q27*(1/365))</f>
        <v>6.5426178759327019E-2</v>
      </c>
      <c r="R2" s="92" t="s">
        <v>108</v>
      </c>
      <c r="S2" s="91" t="s">
        <v>82</v>
      </c>
      <c r="T2" s="229">
        <f>(T17*T18*T19)/(T20*T22*T35*T33*T34*T37*T27*(1/365)*T30*T32*(1/24))</f>
        <v>9.649663622590475E-2</v>
      </c>
      <c r="U2" s="92" t="s">
        <v>108</v>
      </c>
      <c r="V2" s="320" t="s">
        <v>175</v>
      </c>
      <c r="W2" s="307">
        <f>1/((1/W17)+(1/W18)+(1/W20))</f>
        <v>5.945855921109472E-4</v>
      </c>
      <c r="X2" s="278" t="s">
        <v>176</v>
      </c>
      <c r="Y2" s="75" t="s">
        <v>82</v>
      </c>
      <c r="Z2" s="223">
        <f>(Z17*Z18*Z19)/(Z20*Z22*Z30*Z35*Z33*Z34*Z37*Z32*(1/24)*Z27*(1/365))</f>
        <v>6.5426178759327019E-2</v>
      </c>
      <c r="AA2" s="76" t="s">
        <v>108</v>
      </c>
      <c r="AB2" s="75" t="s">
        <v>82</v>
      </c>
      <c r="AC2" s="223">
        <f>(AC17*AC18*AC19)/(AC20*AC22*AC35*AC33*AC34*AC37*AC27*(1/365)*AC30*AC32*(1/24))</f>
        <v>9.649663622590475E-2</v>
      </c>
      <c r="AD2" s="76" t="s">
        <v>108</v>
      </c>
      <c r="AE2" s="321" t="s">
        <v>175</v>
      </c>
      <c r="AF2" s="326">
        <f>1/((1/AF17)+(1/AF18)+(1/AF20))</f>
        <v>3.837407977428981E-5</v>
      </c>
      <c r="AG2" s="269" t="s">
        <v>176</v>
      </c>
      <c r="AH2" s="175" t="s">
        <v>82</v>
      </c>
      <c r="AI2" s="226">
        <f>(AI17*AI18*AI19)/(AI20*AI22*AI30*AI35*AI33*AI34*AI37*AI32*(1/24)*AI27*(1/365))</f>
        <v>0.43617452506218024</v>
      </c>
      <c r="AJ2" s="50" t="s">
        <v>108</v>
      </c>
      <c r="AK2" s="175" t="s">
        <v>82</v>
      </c>
      <c r="AL2" s="226">
        <f>(AL17*AL18*AL19)/(AL20*AL22*AL35*AL33*AL34*AL37*AL27*(1/365)*AL30*AL32*(1/24))</f>
        <v>0.64331090817269831</v>
      </c>
      <c r="AM2" s="50" t="s">
        <v>108</v>
      </c>
    </row>
    <row r="3" spans="1:39" s="1" customFormat="1" ht="15" thickBot="1" x14ac:dyDescent="0.25">
      <c r="A3" s="387"/>
      <c r="B3" s="388"/>
      <c r="C3" s="389"/>
      <c r="D3" s="272" t="s">
        <v>177</v>
      </c>
      <c r="E3" s="304">
        <f>1/((1/E17)+(1/E19)+(1/E20))</f>
        <v>7.3466113069178777E-3</v>
      </c>
      <c r="F3" s="270" t="s">
        <v>176</v>
      </c>
      <c r="G3" s="85" t="s">
        <v>83</v>
      </c>
      <c r="H3" s="233">
        <f>(H17*H18*H19)/(H20*H23*H35*H33*H34*H37*H27*(1/365)*((H32*H30)+(H36*H29))*(1/24))</f>
        <v>0.34932658996487082</v>
      </c>
      <c r="I3" s="86" t="s">
        <v>110</v>
      </c>
      <c r="J3" s="85" t="s">
        <v>83</v>
      </c>
      <c r="K3" s="233">
        <f>(K17*K18*K19)/(K20*K23*K35*K33*K34*K38*K27*(1/365)*((K32*K30)+(K36*K29))*(1/24))</f>
        <v>0.89531337197459326</v>
      </c>
      <c r="L3" s="86" t="s">
        <v>110</v>
      </c>
      <c r="M3" s="265" t="s">
        <v>177</v>
      </c>
      <c r="N3" s="308">
        <f>1/((1/N17)+(1/N19)+(1/N20))</f>
        <v>1.7134495805633344E-2</v>
      </c>
      <c r="O3" s="260" t="s">
        <v>176</v>
      </c>
      <c r="P3" s="93" t="s">
        <v>83</v>
      </c>
      <c r="Q3" s="230">
        <f>(Q17*Q18*Q19)/(Q20*Q23*Q30*Q35*Q33*Q34*Q37*Q32*(1/24)*Q27*(1/365))</f>
        <v>0.3493265899648707</v>
      </c>
      <c r="R3" s="94" t="s">
        <v>110</v>
      </c>
      <c r="S3" s="93" t="s">
        <v>83</v>
      </c>
      <c r="T3" s="230">
        <f>(T17*T18*T19)/(T20*T23*T30*T35*T33*T34*T38*T32*(1/24)*T27*(1/365))</f>
        <v>0.89531337197459326</v>
      </c>
      <c r="U3" s="94" t="s">
        <v>110</v>
      </c>
      <c r="V3" s="277" t="s">
        <v>177</v>
      </c>
      <c r="W3" s="306">
        <f>1/((1/W17)+(1/W19)+(1/W20))</f>
        <v>1.7134495805633344E-2</v>
      </c>
      <c r="X3" s="275" t="s">
        <v>176</v>
      </c>
      <c r="Y3" s="77" t="s">
        <v>83</v>
      </c>
      <c r="Z3" s="224">
        <f>(Z17*Z18*Z19)/(Z20*Z23*Z30*Z35*Z33*Z34*Z37*Z32*(1/24)*Z27*(1/365))</f>
        <v>0.3493265899648707</v>
      </c>
      <c r="AA3" s="78" t="s">
        <v>110</v>
      </c>
      <c r="AB3" s="77" t="s">
        <v>83</v>
      </c>
      <c r="AC3" s="224">
        <f>(AC17*AC18*AC19)/(AC20*AC23*AC30*AC35*AC33*AC34*AC38*AC32*(1/24)*AC27*(1/365))</f>
        <v>0.89531337197459326</v>
      </c>
      <c r="AD3" s="78" t="s">
        <v>110</v>
      </c>
      <c r="AE3" s="268" t="s">
        <v>177</v>
      </c>
      <c r="AF3" s="309">
        <f>1/((1/AF17)+(1/AF19)+(1/AF20))</f>
        <v>1.7251230292288516E-2</v>
      </c>
      <c r="AG3" s="262" t="s">
        <v>176</v>
      </c>
      <c r="AH3" s="176" t="s">
        <v>83</v>
      </c>
      <c r="AI3" s="227">
        <f>(AI17*AI18*AI19)/(AI20*AI23*AI30*AI35*AI33*AI34*AI37*AI32*(1/24)*AI27*(1/365))</f>
        <v>2.3288439330991384</v>
      </c>
      <c r="AJ3" s="177" t="s">
        <v>110</v>
      </c>
      <c r="AK3" s="176" t="s">
        <v>83</v>
      </c>
      <c r="AL3" s="227">
        <f>(AL17*AL18*AL19)/(AL20*AL23*AL30*AL35*AL33*AL34*AL38*AL32*(1/24)*AL27*(1/365))</f>
        <v>5.9687558131639564</v>
      </c>
      <c r="AM3" s="177" t="s">
        <v>110</v>
      </c>
    </row>
    <row r="4" spans="1:39" s="1" customFormat="1" ht="14.25" x14ac:dyDescent="0.2">
      <c r="A4" s="387"/>
      <c r="B4" s="388"/>
      <c r="C4" s="389"/>
      <c r="D4" s="271" t="s">
        <v>175</v>
      </c>
      <c r="E4" s="322">
        <f>E2/E51</f>
        <v>9.6470820305103429E-5</v>
      </c>
      <c r="F4" s="273" t="s">
        <v>178</v>
      </c>
      <c r="G4" s="85" t="s">
        <v>84</v>
      </c>
      <c r="H4" s="233">
        <f>(H17*H18*H19)/(H20*H24*H35*H33*H34*H37*H27*(1/365)*((H32*H30)+(H36*H29))*(1/24))</f>
        <v>0.35444473541460658</v>
      </c>
      <c r="I4" s="86" t="s">
        <v>109</v>
      </c>
      <c r="J4" s="85" t="s">
        <v>84</v>
      </c>
      <c r="K4" s="233">
        <f>(K17*K18*K19)/(K20*K24*K35*K33*K34*K39*K27*(1/365)*((K32*K30)+(K36*K29))*(1/24))</f>
        <v>0.66341487173154789</v>
      </c>
      <c r="L4" s="86" t="s">
        <v>109</v>
      </c>
      <c r="M4" s="264" t="s">
        <v>175</v>
      </c>
      <c r="N4" s="324">
        <f>N2/N41</f>
        <v>2.1999666908105069E-5</v>
      </c>
      <c r="O4" s="266" t="s">
        <v>178</v>
      </c>
      <c r="P4" s="93" t="s">
        <v>84</v>
      </c>
      <c r="Q4" s="230">
        <f>(Q17*Q18*Q19)/(Q20*Q24*Q30*Q35*Q33*Q34*Q37*Q32*(1/24)*Q27*(1/365))</f>
        <v>0.35444473541460658</v>
      </c>
      <c r="R4" s="94" t="s">
        <v>109</v>
      </c>
      <c r="S4" s="93" t="s">
        <v>84</v>
      </c>
      <c r="T4" s="230">
        <f>(T17*T18*T19)/(T20*T24*T30*T35*T33*T34*T39*T32*(1/24)*T27*(1/365))</f>
        <v>0.66341487173154767</v>
      </c>
      <c r="U4" s="94" t="s">
        <v>109</v>
      </c>
      <c r="V4" s="276" t="s">
        <v>175</v>
      </c>
      <c r="W4" s="305">
        <f>W2/W41</f>
        <v>2.1999666908105069E-5</v>
      </c>
      <c r="X4" s="278" t="s">
        <v>178</v>
      </c>
      <c r="Y4" s="77" t="s">
        <v>84</v>
      </c>
      <c r="Z4" s="224">
        <f>(Z17*Z18*Z19)/(Z20*Z24*Z30*Z35*Z33*Z34*Z37*Z32*(1/24)*Z27*(1/365))</f>
        <v>0.35444473541460658</v>
      </c>
      <c r="AA4" s="78" t="s">
        <v>109</v>
      </c>
      <c r="AB4" s="77" t="s">
        <v>84</v>
      </c>
      <c r="AC4" s="224">
        <f>(AC17*AC18*AC19)/(AC20*AC24*AC30*AC35*AC33*AC34*AC39*AC32*(1/24)*AC27*(1/365))</f>
        <v>0.66341487173154767</v>
      </c>
      <c r="AD4" s="78" t="s">
        <v>109</v>
      </c>
      <c r="AE4" s="267" t="s">
        <v>175</v>
      </c>
      <c r="AF4" s="323">
        <f>AF2/AF41</f>
        <v>1.4198409516487245E-6</v>
      </c>
      <c r="AG4" s="269" t="s">
        <v>178</v>
      </c>
      <c r="AH4" s="176" t="s">
        <v>84</v>
      </c>
      <c r="AI4" s="227">
        <f>(AI17*AI18*AI19)/(AI20*AI24*AI30*AI35*AI33*AI34*AI37*AI32*(1/24)*AI27*(1/365))</f>
        <v>2.3629649027640443</v>
      </c>
      <c r="AJ4" s="177" t="s">
        <v>109</v>
      </c>
      <c r="AK4" s="176" t="s">
        <v>84</v>
      </c>
      <c r="AL4" s="227">
        <f>(AL17*AL18*AL19)/(AL20*AL24*AL30*AL35*AL33*AL34*AL39*AL32*(1/24)*AL27*(1/365))</f>
        <v>4.4227658115436519</v>
      </c>
      <c r="AM4" s="177" t="s">
        <v>109</v>
      </c>
    </row>
    <row r="5" spans="1:39" s="1" customFormat="1" ht="15" thickBot="1" x14ac:dyDescent="0.25">
      <c r="A5" s="390"/>
      <c r="B5" s="391"/>
      <c r="C5" s="392"/>
      <c r="D5" s="272" t="s">
        <v>177</v>
      </c>
      <c r="E5" s="304">
        <f>E3/E51</f>
        <v>2.7182461835596175E-4</v>
      </c>
      <c r="F5" s="274" t="s">
        <v>178</v>
      </c>
      <c r="G5" s="85" t="s">
        <v>85</v>
      </c>
      <c r="H5" s="233">
        <f>(H17*H18*H19)/(H20*H25*H35*H33*H34*H37*H27*(1/365)*((H32*H30)+(H36*H29))*(1/24))</f>
        <v>0.12333718833683945</v>
      </c>
      <c r="I5" s="86" t="s">
        <v>109</v>
      </c>
      <c r="J5" s="85" t="s">
        <v>85</v>
      </c>
      <c r="K5" s="233">
        <f>(K17*K18*K19)/(K20*K25*K35*K33*K34*K40*K27*(1/365)*((K32*K30)+(K36*K29))*(1/24))</f>
        <v>0.19557852037213388</v>
      </c>
      <c r="L5" s="86" t="s">
        <v>109</v>
      </c>
      <c r="M5" s="265" t="s">
        <v>177</v>
      </c>
      <c r="N5" s="308">
        <f>N3/N41</f>
        <v>6.3397634480843437E-4</v>
      </c>
      <c r="O5" s="261" t="s">
        <v>178</v>
      </c>
      <c r="P5" s="93" t="s">
        <v>85</v>
      </c>
      <c r="Q5" s="230">
        <f>(Q17*Q18*Q19)/(Q20*Q25*Q30*Q35*Q33*Q34*Q37*Q32*(1/24)*Q27*(1/365))</f>
        <v>0.12333718833683943</v>
      </c>
      <c r="R5" s="94" t="s">
        <v>109</v>
      </c>
      <c r="S5" s="93" t="s">
        <v>85</v>
      </c>
      <c r="T5" s="230">
        <f>(T17*T18*T19)/(T20*T25*T30*T35*T33*T34*T40*T32*(1/24)*T27*(1/365))</f>
        <v>0.19557852037213386</v>
      </c>
      <c r="U5" s="94" t="s">
        <v>109</v>
      </c>
      <c r="V5" s="277" t="s">
        <v>177</v>
      </c>
      <c r="W5" s="306">
        <f>W3/W41</f>
        <v>6.3397634480843437E-4</v>
      </c>
      <c r="X5" s="279" t="s">
        <v>178</v>
      </c>
      <c r="Y5" s="77" t="s">
        <v>85</v>
      </c>
      <c r="Z5" s="224">
        <f>(Z17*Z18*Z19)/(Z20*Z25*Z30*Z35*Z33*Z34*Z37*Z32*(1/24)*Z27*(1/365))</f>
        <v>0.12333718833683943</v>
      </c>
      <c r="AA5" s="78" t="s">
        <v>109</v>
      </c>
      <c r="AB5" s="77" t="s">
        <v>85</v>
      </c>
      <c r="AC5" s="224">
        <f>(AC17*AC18*AC19)/(AC20*AC25*AC30*AC35*AC33*AC34*AC40*AC32*(1/24)*AC27*(1/365))</f>
        <v>0.19557852037213386</v>
      </c>
      <c r="AD5" s="78" t="s">
        <v>109</v>
      </c>
      <c r="AE5" s="268" t="s">
        <v>177</v>
      </c>
      <c r="AF5" s="309">
        <f>AF3/AF41</f>
        <v>6.3829552081467577E-4</v>
      </c>
      <c r="AG5" s="263" t="s">
        <v>178</v>
      </c>
      <c r="AH5" s="176" t="s">
        <v>85</v>
      </c>
      <c r="AI5" s="227">
        <f>(AI17*AI18*AI19)/(AI20*AI25*AI30*AI35*AI33*AI34*AI37*AI32*(1/24)*AI27*(1/365))</f>
        <v>0.82224792224559617</v>
      </c>
      <c r="AJ5" s="177" t="s">
        <v>109</v>
      </c>
      <c r="AK5" s="176" t="s">
        <v>85</v>
      </c>
      <c r="AL5" s="227">
        <f>(AL17*AL18*AL19)/(AL20*AL25*AL30*AL35*AL33*AL34*AL40*AL32*(1/24)*AL27*(1/365))</f>
        <v>1.3038568024808925</v>
      </c>
      <c r="AM5" s="177" t="s">
        <v>109</v>
      </c>
    </row>
    <row r="6" spans="1:39" s="1" customFormat="1" ht="15.75" thickTop="1" thickBot="1" x14ac:dyDescent="0.25">
      <c r="A6" s="28" t="s">
        <v>21</v>
      </c>
      <c r="B6" s="190">
        <v>1</v>
      </c>
      <c r="C6" s="28" t="s">
        <v>138</v>
      </c>
      <c r="D6" s="271" t="s">
        <v>175</v>
      </c>
      <c r="E6" s="322">
        <f>E2*E13*E50*E52</f>
        <v>2.6401556118864495E-12</v>
      </c>
      <c r="F6" s="273" t="s">
        <v>179</v>
      </c>
      <c r="G6" s="87" t="s">
        <v>86</v>
      </c>
      <c r="H6" s="234">
        <f>(H17*H18*H19)/(H20*H26*H35*H33*H34*H37*H27*(1/365)*((H32*H30)+(H36*H29))*(1/24))</f>
        <v>7.7183525893666977E-2</v>
      </c>
      <c r="I6" s="48" t="s">
        <v>109</v>
      </c>
      <c r="J6" s="87" t="s">
        <v>86</v>
      </c>
      <c r="K6" s="234">
        <f>(K17*K18*K19)/(K20*K26*K35*K33*K34*K41*K27*(1/365)*((K32*K30)+(K36*K29))*(1/24))</f>
        <v>0.12001945284265343</v>
      </c>
      <c r="L6" s="48" t="s">
        <v>109</v>
      </c>
      <c r="M6" s="264" t="s">
        <v>175</v>
      </c>
      <c r="N6" s="324">
        <f>N2*N13*N40*N42</f>
        <v>6.0207370335788042E-13</v>
      </c>
      <c r="O6" s="266" t="s">
        <v>179</v>
      </c>
      <c r="P6" s="95" t="s">
        <v>86</v>
      </c>
      <c r="Q6" s="231">
        <f>(Q17*Q18*Q19)/(Q20*Q26*Q30*Q35*Q33*Q34*Q37*Q32*(1/24)*Q27*(1/365))</f>
        <v>7.7183525893666977E-2</v>
      </c>
      <c r="R6" s="96" t="s">
        <v>109</v>
      </c>
      <c r="S6" s="95" t="s">
        <v>86</v>
      </c>
      <c r="T6" s="231">
        <f>(T17*T18*T19)/(T20*T26*T30*T35*T33*T34*T41*T32*(1/24)*T27*(1/365))</f>
        <v>0.12001945284265343</v>
      </c>
      <c r="U6" s="96" t="s">
        <v>109</v>
      </c>
      <c r="V6" s="276" t="s">
        <v>175</v>
      </c>
      <c r="W6" s="305">
        <f>W2*W13*W40*W42</f>
        <v>6.0207370335788042E-13</v>
      </c>
      <c r="X6" s="278" t="s">
        <v>179</v>
      </c>
      <c r="Y6" s="79" t="s">
        <v>86</v>
      </c>
      <c r="Z6" s="225">
        <f>(Z17*Z18*Z19)/(Z20*Z26*Z30*Z35*Z33*Z34*Z37*Z32*(1/24)*Z27*(1/365))</f>
        <v>7.7183525893666977E-2</v>
      </c>
      <c r="AA6" s="80" t="s">
        <v>109</v>
      </c>
      <c r="AB6" s="79" t="s">
        <v>86</v>
      </c>
      <c r="AC6" s="225">
        <f>(AC17*AC18*AC19)/(AC20*AC26*AC30*AC35*AC33*AC34*AC41*AC32*(1/24)*AC27*(1/365))</f>
        <v>0.12001945284265343</v>
      </c>
      <c r="AD6" s="80" t="s">
        <v>109</v>
      </c>
      <c r="AE6" s="267" t="s">
        <v>175</v>
      </c>
      <c r="AF6" s="323">
        <f>AF2*AF13*AF40*AF42</f>
        <v>3.8857356500401521E-14</v>
      </c>
      <c r="AG6" s="269" t="s">
        <v>179</v>
      </c>
      <c r="AH6" s="178" t="s">
        <v>86</v>
      </c>
      <c r="AI6" s="228">
        <f>(AI17*AI18*AI19)/(AI20*AI26*AI30*AI35*AI33*AI34*AI37*AI32*(1/24)*AI27*(1/365))</f>
        <v>0.51455683929111329</v>
      </c>
      <c r="AJ6" s="179" t="s">
        <v>109</v>
      </c>
      <c r="AK6" s="178" t="s">
        <v>86</v>
      </c>
      <c r="AL6" s="228">
        <f>(AL17*AL18*AL19)/(AL20*AL26*AL30*AL35*AL33*AL34*AL41*AL32*(1/24)*AL27*(1/365))</f>
        <v>0.80012968561768949</v>
      </c>
      <c r="AM6" s="179" t="s">
        <v>109</v>
      </c>
    </row>
    <row r="7" spans="1:39" s="1" customFormat="1" ht="15" thickBot="1" x14ac:dyDescent="0.25">
      <c r="A7" s="38" t="s">
        <v>22</v>
      </c>
      <c r="B7" s="333">
        <v>3.8043873993229303E-2</v>
      </c>
      <c r="C7" s="40" t="s">
        <v>11</v>
      </c>
      <c r="D7" s="272" t="s">
        <v>177</v>
      </c>
      <c r="E7" s="304">
        <f>E3*E13*E50*E52</f>
        <v>7.4391332978374166E-12</v>
      </c>
      <c r="F7" s="274" t="s">
        <v>179</v>
      </c>
      <c r="G7" s="84" t="s">
        <v>82</v>
      </c>
      <c r="H7" s="232">
        <f>H2/H42</f>
        <v>2.4207686140951027E-3</v>
      </c>
      <c r="I7" s="49" t="s">
        <v>105</v>
      </c>
      <c r="J7" s="84" t="s">
        <v>82</v>
      </c>
      <c r="K7" s="232">
        <f>K2/K42</f>
        <v>3.5703755403584795E-3</v>
      </c>
      <c r="L7" s="49" t="s">
        <v>105</v>
      </c>
      <c r="M7" s="265" t="s">
        <v>177</v>
      </c>
      <c r="N7" s="308">
        <f>N3*N13*N40*N42</f>
        <v>1.7350284772697233E-11</v>
      </c>
      <c r="O7" s="261" t="s">
        <v>179</v>
      </c>
      <c r="P7" s="91" t="s">
        <v>82</v>
      </c>
      <c r="Q7" s="229">
        <f>Q2/Q42</f>
        <v>2.4207686140951023E-3</v>
      </c>
      <c r="R7" s="92" t="s">
        <v>105</v>
      </c>
      <c r="S7" s="91" t="s">
        <v>82</v>
      </c>
      <c r="T7" s="229">
        <f>T2/T42</f>
        <v>3.5703755403584795E-3</v>
      </c>
      <c r="U7" s="92" t="s">
        <v>105</v>
      </c>
      <c r="V7" s="277" t="s">
        <v>177</v>
      </c>
      <c r="W7" s="306">
        <f>W3*W13*W40*W42</f>
        <v>1.7350284772697233E-11</v>
      </c>
      <c r="X7" s="279" t="s">
        <v>179</v>
      </c>
      <c r="Y7" s="75" t="s">
        <v>82</v>
      </c>
      <c r="Z7" s="223">
        <f>Z2/Z42</f>
        <v>2.4207686140951023E-3</v>
      </c>
      <c r="AA7" s="76" t="s">
        <v>105</v>
      </c>
      <c r="AB7" s="75" t="s">
        <v>82</v>
      </c>
      <c r="AC7" s="223">
        <f>AC2/AC42</f>
        <v>3.5703755403584795E-3</v>
      </c>
      <c r="AD7" s="76" t="s">
        <v>105</v>
      </c>
      <c r="AE7" s="268" t="s">
        <v>177</v>
      </c>
      <c r="AF7" s="309">
        <f>AF3*AF13*AF40*AF42</f>
        <v>1.7468489393903303E-11</v>
      </c>
      <c r="AG7" s="263" t="s">
        <v>179</v>
      </c>
      <c r="AH7" s="175" t="s">
        <v>82</v>
      </c>
      <c r="AI7" s="226">
        <f>AI2/AI42</f>
        <v>1.6138457427300686E-2</v>
      </c>
      <c r="AJ7" s="50" t="s">
        <v>105</v>
      </c>
      <c r="AK7" s="175" t="s">
        <v>82</v>
      </c>
      <c r="AL7" s="226">
        <f>AL2/AL42</f>
        <v>2.3802503602389863E-2</v>
      </c>
      <c r="AM7" s="50" t="s">
        <v>105</v>
      </c>
    </row>
    <row r="8" spans="1:39" s="1" customFormat="1" ht="14.25" x14ac:dyDescent="0.2">
      <c r="A8" s="38" t="s">
        <v>209</v>
      </c>
      <c r="B8" s="333">
        <v>1.67911012348351E-3</v>
      </c>
      <c r="C8" s="38" t="s">
        <v>11</v>
      </c>
      <c r="D8" s="28" t="s">
        <v>21</v>
      </c>
      <c r="E8" s="32">
        <f>B6</f>
        <v>1</v>
      </c>
      <c r="F8" s="28" t="s">
        <v>138</v>
      </c>
      <c r="G8" s="85" t="s">
        <v>83</v>
      </c>
      <c r="H8" s="233">
        <f>H3/H42</f>
        <v>1.2925083828700234E-2</v>
      </c>
      <c r="I8" s="86" t="s">
        <v>106</v>
      </c>
      <c r="J8" s="85" t="s">
        <v>83</v>
      </c>
      <c r="K8" s="233">
        <f>K3/K42</f>
        <v>3.3126594763059986E-2</v>
      </c>
      <c r="L8" s="86" t="s">
        <v>106</v>
      </c>
      <c r="M8" s="28" t="s">
        <v>21</v>
      </c>
      <c r="N8" s="32">
        <f>B6</f>
        <v>1</v>
      </c>
      <c r="O8" s="28" t="s">
        <v>138</v>
      </c>
      <c r="P8" s="93" t="s">
        <v>83</v>
      </c>
      <c r="Q8" s="230">
        <f>Q3/Q42</f>
        <v>1.2925083828700229E-2</v>
      </c>
      <c r="R8" s="94" t="s">
        <v>106</v>
      </c>
      <c r="S8" s="93" t="s">
        <v>83</v>
      </c>
      <c r="T8" s="230">
        <f>T3/T42</f>
        <v>3.3126594763059986E-2</v>
      </c>
      <c r="U8" s="94" t="s">
        <v>106</v>
      </c>
      <c r="V8" s="28" t="s">
        <v>21</v>
      </c>
      <c r="W8" s="32">
        <f>B6</f>
        <v>1</v>
      </c>
      <c r="X8" s="28" t="s">
        <v>138</v>
      </c>
      <c r="Y8" s="77" t="s">
        <v>83</v>
      </c>
      <c r="Z8" s="224">
        <f>Z3/Z42</f>
        <v>1.2925083828700229E-2</v>
      </c>
      <c r="AA8" s="78" t="s">
        <v>106</v>
      </c>
      <c r="AB8" s="77" t="s">
        <v>83</v>
      </c>
      <c r="AC8" s="224">
        <f>AC3/AC42</f>
        <v>3.3126594763059986E-2</v>
      </c>
      <c r="AD8" s="78" t="s">
        <v>106</v>
      </c>
      <c r="AE8" s="28" t="s">
        <v>21</v>
      </c>
      <c r="AF8" s="32">
        <f>B6</f>
        <v>1</v>
      </c>
      <c r="AG8" s="28" t="s">
        <v>138</v>
      </c>
      <c r="AH8" s="176" t="s">
        <v>83</v>
      </c>
      <c r="AI8" s="227">
        <f>AI3/AI42</f>
        <v>8.6167225524668212E-2</v>
      </c>
      <c r="AJ8" s="177" t="s">
        <v>106</v>
      </c>
      <c r="AK8" s="176" t="s">
        <v>83</v>
      </c>
      <c r="AL8" s="227">
        <f>AL3/AL42</f>
        <v>0.22084396508706661</v>
      </c>
      <c r="AM8" s="177" t="s">
        <v>106</v>
      </c>
    </row>
    <row r="9" spans="1:39" s="1" customFormat="1" ht="19.5" x14ac:dyDescent="0.35">
      <c r="A9" s="38" t="s">
        <v>210</v>
      </c>
      <c r="B9" s="333">
        <v>1.036E-3</v>
      </c>
      <c r="C9" s="38" t="s">
        <v>11</v>
      </c>
      <c r="D9" s="54" t="s">
        <v>206</v>
      </c>
      <c r="E9" s="32">
        <f>E38</f>
        <v>1</v>
      </c>
      <c r="F9" s="28"/>
      <c r="G9" s="85" t="s">
        <v>84</v>
      </c>
      <c r="H9" s="233">
        <f>H4/H42</f>
        <v>1.3114455210340457E-2</v>
      </c>
      <c r="I9" s="86" t="s">
        <v>105</v>
      </c>
      <c r="J9" s="85" t="s">
        <v>84</v>
      </c>
      <c r="K9" s="233">
        <f>K4/K42</f>
        <v>2.4546350254067296E-2</v>
      </c>
      <c r="L9" s="86" t="s">
        <v>105</v>
      </c>
      <c r="M9" s="54" t="s">
        <v>207</v>
      </c>
      <c r="N9" s="32">
        <f>N30</f>
        <v>1</v>
      </c>
      <c r="O9" s="28"/>
      <c r="P9" s="93" t="s">
        <v>84</v>
      </c>
      <c r="Q9" s="230">
        <f>Q4/Q42</f>
        <v>1.3114455210340457E-2</v>
      </c>
      <c r="R9" s="94" t="s">
        <v>105</v>
      </c>
      <c r="S9" s="93" t="s">
        <v>84</v>
      </c>
      <c r="T9" s="230">
        <f>T4/T42</f>
        <v>2.454635025406729E-2</v>
      </c>
      <c r="U9" s="94" t="s">
        <v>105</v>
      </c>
      <c r="V9" s="54" t="s">
        <v>208</v>
      </c>
      <c r="W9" s="32">
        <f>W30</f>
        <v>1</v>
      </c>
      <c r="X9" s="28"/>
      <c r="Y9" s="77" t="s">
        <v>84</v>
      </c>
      <c r="Z9" s="224">
        <f>Z4/Z42</f>
        <v>1.3114455210340457E-2</v>
      </c>
      <c r="AA9" s="78" t="s">
        <v>105</v>
      </c>
      <c r="AB9" s="77" t="s">
        <v>84</v>
      </c>
      <c r="AC9" s="224">
        <f>AC4/AC42</f>
        <v>2.454635025406729E-2</v>
      </c>
      <c r="AD9" s="78" t="s">
        <v>105</v>
      </c>
      <c r="AE9" s="54" t="s">
        <v>140</v>
      </c>
      <c r="AF9" s="32">
        <f>AF30</f>
        <v>1</v>
      </c>
      <c r="AG9" s="28"/>
      <c r="AH9" s="176" t="s">
        <v>84</v>
      </c>
      <c r="AI9" s="227">
        <f>AI4/AI42</f>
        <v>8.742970140226973E-2</v>
      </c>
      <c r="AJ9" s="177" t="s">
        <v>105</v>
      </c>
      <c r="AK9" s="176" t="s">
        <v>84</v>
      </c>
      <c r="AL9" s="227">
        <f>AL4/AL42</f>
        <v>0.16364233502711528</v>
      </c>
      <c r="AM9" s="177" t="s">
        <v>105</v>
      </c>
    </row>
    <row r="10" spans="1:39" s="1" customFormat="1" ht="14.25" x14ac:dyDescent="0.2">
      <c r="A10" s="57" t="s">
        <v>113</v>
      </c>
      <c r="B10" s="333">
        <v>10.423439999999999</v>
      </c>
      <c r="C10" s="38" t="s">
        <v>198</v>
      </c>
      <c r="D10" s="54" t="s">
        <v>65</v>
      </c>
      <c r="E10" s="32">
        <f>B33</f>
        <v>0.38</v>
      </c>
      <c r="F10" s="28"/>
      <c r="G10" s="85" t="s">
        <v>85</v>
      </c>
      <c r="H10" s="233">
        <f>H5/H42</f>
        <v>4.5634759684630641E-3</v>
      </c>
      <c r="I10" s="86" t="s">
        <v>105</v>
      </c>
      <c r="J10" s="85" t="s">
        <v>85</v>
      </c>
      <c r="K10" s="233">
        <f>K5/K42</f>
        <v>7.2364052537689611E-3</v>
      </c>
      <c r="L10" s="86" t="s">
        <v>105</v>
      </c>
      <c r="M10" s="54" t="s">
        <v>65</v>
      </c>
      <c r="N10" s="32">
        <f>B33</f>
        <v>0.38</v>
      </c>
      <c r="O10" s="28"/>
      <c r="P10" s="93" t="s">
        <v>85</v>
      </c>
      <c r="Q10" s="230">
        <f>Q5/Q42</f>
        <v>4.5634759684630632E-3</v>
      </c>
      <c r="R10" s="94" t="s">
        <v>105</v>
      </c>
      <c r="S10" s="93" t="s">
        <v>85</v>
      </c>
      <c r="T10" s="230">
        <f>T5/T42</f>
        <v>7.2364052537689603E-3</v>
      </c>
      <c r="U10" s="94" t="s">
        <v>105</v>
      </c>
      <c r="V10" s="54" t="s">
        <v>65</v>
      </c>
      <c r="W10" s="32">
        <f>B33</f>
        <v>0.38</v>
      </c>
      <c r="X10" s="28"/>
      <c r="Y10" s="77" t="s">
        <v>85</v>
      </c>
      <c r="Z10" s="224">
        <f>Z5/Z42</f>
        <v>4.5634759684630632E-3</v>
      </c>
      <c r="AA10" s="78" t="s">
        <v>105</v>
      </c>
      <c r="AB10" s="77" t="s">
        <v>85</v>
      </c>
      <c r="AC10" s="224">
        <f>AC5/AC42</f>
        <v>7.2364052537689603E-3</v>
      </c>
      <c r="AD10" s="78" t="s">
        <v>105</v>
      </c>
      <c r="AE10" s="54" t="s">
        <v>65</v>
      </c>
      <c r="AF10" s="32">
        <f>B33</f>
        <v>0.38</v>
      </c>
      <c r="AG10" s="28"/>
      <c r="AH10" s="176" t="s">
        <v>85</v>
      </c>
      <c r="AI10" s="227">
        <f>AI5/AI42</f>
        <v>3.042317312308709E-2</v>
      </c>
      <c r="AJ10" s="177" t="s">
        <v>105</v>
      </c>
      <c r="AK10" s="176" t="s">
        <v>85</v>
      </c>
      <c r="AL10" s="227">
        <f>AL5/AL42</f>
        <v>4.8242701691793073E-2</v>
      </c>
      <c r="AM10" s="177" t="s">
        <v>105</v>
      </c>
    </row>
    <row r="11" spans="1:39" s="1" customFormat="1" ht="15" thickBot="1" x14ac:dyDescent="0.25">
      <c r="A11" s="57" t="s">
        <v>23</v>
      </c>
      <c r="B11" s="333">
        <v>1.9522299999999999</v>
      </c>
      <c r="C11" s="38" t="s">
        <v>199</v>
      </c>
      <c r="D11" s="54" t="s">
        <v>1</v>
      </c>
      <c r="E11" s="51">
        <f>0.693/E13</f>
        <v>4.3312499999999997E-4</v>
      </c>
      <c r="F11" s="54"/>
      <c r="G11" s="87" t="s">
        <v>86</v>
      </c>
      <c r="H11" s="234">
        <f>H6/H42</f>
        <v>2.8557904580656809E-3</v>
      </c>
      <c r="I11" s="86" t="s">
        <v>105</v>
      </c>
      <c r="J11" s="87" t="s">
        <v>86</v>
      </c>
      <c r="K11" s="234">
        <f>K6/K42</f>
        <v>4.4407197551781814E-3</v>
      </c>
      <c r="L11" s="86" t="s">
        <v>105</v>
      </c>
      <c r="M11" s="54" t="s">
        <v>1</v>
      </c>
      <c r="N11" s="51">
        <f>0.693/N13</f>
        <v>4.3312499999999997E-4</v>
      </c>
      <c r="O11" s="28"/>
      <c r="P11" s="95" t="s">
        <v>86</v>
      </c>
      <c r="Q11" s="231">
        <f>Q6/Q42</f>
        <v>2.8557904580656809E-3</v>
      </c>
      <c r="R11" s="94" t="s">
        <v>105</v>
      </c>
      <c r="S11" s="95" t="s">
        <v>86</v>
      </c>
      <c r="T11" s="231">
        <f>T6/T42</f>
        <v>4.4407197551781814E-3</v>
      </c>
      <c r="U11" s="94" t="s">
        <v>105</v>
      </c>
      <c r="V11" s="54" t="s">
        <v>1</v>
      </c>
      <c r="W11" s="51">
        <f>0.693/W13</f>
        <v>4.3312499999999997E-4</v>
      </c>
      <c r="X11" s="54"/>
      <c r="Y11" s="79" t="s">
        <v>86</v>
      </c>
      <c r="Z11" s="225">
        <f>Z6/Z42</f>
        <v>2.8557904580656809E-3</v>
      </c>
      <c r="AA11" s="78" t="s">
        <v>105</v>
      </c>
      <c r="AB11" s="79" t="s">
        <v>86</v>
      </c>
      <c r="AC11" s="225">
        <f>AC6/AC42</f>
        <v>4.4407197551781814E-3</v>
      </c>
      <c r="AD11" s="78" t="s">
        <v>105</v>
      </c>
      <c r="AE11" s="54" t="s">
        <v>1</v>
      </c>
      <c r="AF11" s="51">
        <f>0.693/AF13</f>
        <v>4.3312499999999997E-4</v>
      </c>
      <c r="AG11" s="54"/>
      <c r="AH11" s="178" t="s">
        <v>86</v>
      </c>
      <c r="AI11" s="228">
        <f>AI6/AI42</f>
        <v>1.9038603053771211E-2</v>
      </c>
      <c r="AJ11" s="177" t="s">
        <v>105</v>
      </c>
      <c r="AK11" s="178" t="s">
        <v>86</v>
      </c>
      <c r="AL11" s="228">
        <f>AL6/AL42</f>
        <v>2.960479836785454E-2</v>
      </c>
      <c r="AM11" s="177" t="s">
        <v>105</v>
      </c>
    </row>
    <row r="12" spans="1:39" s="1" customFormat="1" ht="14.25" x14ac:dyDescent="0.2">
      <c r="A12" s="57" t="s">
        <v>114</v>
      </c>
      <c r="B12" s="333">
        <v>1.92404</v>
      </c>
      <c r="C12" s="38" t="s">
        <v>198</v>
      </c>
      <c r="D12" s="28" t="s">
        <v>126</v>
      </c>
      <c r="E12" s="51">
        <f>(1-EXP(-E11*E9))</f>
        <v>4.3303121490789742E-4</v>
      </c>
      <c r="F12" s="28"/>
      <c r="G12" s="84" t="s">
        <v>82</v>
      </c>
      <c r="H12" s="232">
        <f>H2*H21*H43*H44</f>
        <v>6.6250145083960339E-8</v>
      </c>
      <c r="I12" s="88" t="s">
        <v>107</v>
      </c>
      <c r="J12" s="84" t="s">
        <v>82</v>
      </c>
      <c r="K12" s="232">
        <f>K2*K21*K43*K44</f>
        <v>9.7711898681977826E-8</v>
      </c>
      <c r="L12" s="88" t="s">
        <v>107</v>
      </c>
      <c r="M12" s="28" t="s">
        <v>126</v>
      </c>
      <c r="N12" s="51">
        <f>(1-EXP(-N11*N9))</f>
        <v>4.3303121490789742E-4</v>
      </c>
      <c r="O12" s="28"/>
      <c r="P12" s="91" t="s">
        <v>82</v>
      </c>
      <c r="Q12" s="229">
        <f>Q2*Q21*Q43*Q44</f>
        <v>6.6250145083960325E-8</v>
      </c>
      <c r="R12" s="97" t="s">
        <v>107</v>
      </c>
      <c r="S12" s="91" t="s">
        <v>82</v>
      </c>
      <c r="T12" s="229">
        <f>T2*T21*T43*T44</f>
        <v>9.7711898681977826E-8</v>
      </c>
      <c r="U12" s="97" t="s">
        <v>107</v>
      </c>
      <c r="V12" s="28" t="s">
        <v>126</v>
      </c>
      <c r="W12" s="51">
        <f>(1-EXP(-W11*W9))</f>
        <v>4.3303121490789742E-4</v>
      </c>
      <c r="X12" s="28"/>
      <c r="Y12" s="75" t="s">
        <v>82</v>
      </c>
      <c r="Z12" s="223">
        <f>Z2*Z21*Z43*Z44</f>
        <v>6.6250145083960325E-8</v>
      </c>
      <c r="AA12" s="81" t="s">
        <v>107</v>
      </c>
      <c r="AB12" s="75" t="s">
        <v>82</v>
      </c>
      <c r="AC12" s="223">
        <f>AC2*AC21*AC43*AC44</f>
        <v>9.7711898681977826E-8</v>
      </c>
      <c r="AD12" s="81" t="s">
        <v>107</v>
      </c>
      <c r="AE12" s="28" t="s">
        <v>126</v>
      </c>
      <c r="AF12" s="51">
        <f>(1-EXP(-AF11*AF9))</f>
        <v>4.3303121490789742E-4</v>
      </c>
      <c r="AG12" s="28"/>
      <c r="AH12" s="175" t="s">
        <v>82</v>
      </c>
      <c r="AI12" s="226">
        <f>AI2*AI21*AI43*AI44</f>
        <v>4.4166763389306887E-7</v>
      </c>
      <c r="AJ12" s="180" t="s">
        <v>107</v>
      </c>
      <c r="AK12" s="175" t="s">
        <v>82</v>
      </c>
      <c r="AL12" s="226">
        <f>AL2*AL21*AL43*AL44</f>
        <v>6.5141265787985207E-7</v>
      </c>
      <c r="AM12" s="180" t="s">
        <v>107</v>
      </c>
    </row>
    <row r="13" spans="1:39" s="1" customFormat="1" ht="14.25" x14ac:dyDescent="0.2">
      <c r="A13" s="57" t="s">
        <v>115</v>
      </c>
      <c r="B13" s="333">
        <v>5.52928</v>
      </c>
      <c r="C13" s="38" t="s">
        <v>198</v>
      </c>
      <c r="D13" s="33" t="s">
        <v>9</v>
      </c>
      <c r="E13" s="53">
        <f>B16</f>
        <v>1600</v>
      </c>
      <c r="F13" s="54" t="s">
        <v>10</v>
      </c>
      <c r="G13" s="85" t="s">
        <v>83</v>
      </c>
      <c r="H13" s="233">
        <f>H3*H21*H43*H45</f>
        <v>3.5372595046380583E-10</v>
      </c>
      <c r="I13" s="86" t="s">
        <v>110</v>
      </c>
      <c r="J13" s="85" t="s">
        <v>83</v>
      </c>
      <c r="K13" s="233">
        <f>K3*K21*K43*K45</f>
        <v>9.0658879845509504E-10</v>
      </c>
      <c r="L13" s="86" t="s">
        <v>110</v>
      </c>
      <c r="M13" s="33" t="s">
        <v>9</v>
      </c>
      <c r="N13" s="53">
        <f>B16</f>
        <v>1600</v>
      </c>
      <c r="O13" s="28"/>
      <c r="P13" s="93" t="s">
        <v>83</v>
      </c>
      <c r="Q13" s="230">
        <f>Q3*Q21*Q43*Q45</f>
        <v>3.5372595046380568E-10</v>
      </c>
      <c r="R13" s="94" t="s">
        <v>110</v>
      </c>
      <c r="S13" s="93" t="s">
        <v>83</v>
      </c>
      <c r="T13" s="230">
        <f>T3*T21*T43*T45</f>
        <v>9.0658879845509504E-10</v>
      </c>
      <c r="U13" s="94" t="s">
        <v>110</v>
      </c>
      <c r="V13" s="33" t="s">
        <v>9</v>
      </c>
      <c r="W13" s="53">
        <f>B16</f>
        <v>1600</v>
      </c>
      <c r="X13" s="54"/>
      <c r="Y13" s="77" t="s">
        <v>83</v>
      </c>
      <c r="Z13" s="224">
        <f>Z3*Z21*Z43*Z45</f>
        <v>3.5372595046380568E-10</v>
      </c>
      <c r="AA13" s="78" t="s">
        <v>110</v>
      </c>
      <c r="AB13" s="77" t="s">
        <v>83</v>
      </c>
      <c r="AC13" s="224">
        <f>AC3*AC21*AC43*AC45</f>
        <v>9.0658879845509504E-10</v>
      </c>
      <c r="AD13" s="78" t="s">
        <v>110</v>
      </c>
      <c r="AE13" s="33" t="s">
        <v>9</v>
      </c>
      <c r="AF13" s="53">
        <f>B16</f>
        <v>1600</v>
      </c>
      <c r="AG13" s="54"/>
      <c r="AH13" s="176" t="s">
        <v>83</v>
      </c>
      <c r="AI13" s="227">
        <f>AI3*AI21*AI43*AI45</f>
        <v>2.358173003092038E-9</v>
      </c>
      <c r="AJ13" s="177" t="s">
        <v>110</v>
      </c>
      <c r="AK13" s="176" t="s">
        <v>83</v>
      </c>
      <c r="AL13" s="227">
        <f>AL3*AL21*AL43*AL45</f>
        <v>6.0439253230339679E-9</v>
      </c>
      <c r="AM13" s="177" t="s">
        <v>110</v>
      </c>
    </row>
    <row r="14" spans="1:39" s="1" customFormat="1" ht="14.25" x14ac:dyDescent="0.2">
      <c r="A14" s="57" t="s">
        <v>116</v>
      </c>
      <c r="B14" s="333">
        <v>8.8356399999999997</v>
      </c>
      <c r="C14" s="38" t="s">
        <v>198</v>
      </c>
      <c r="D14" s="38" t="s">
        <v>209</v>
      </c>
      <c r="E14" s="53">
        <f>B8</f>
        <v>1.67911012348351E-3</v>
      </c>
      <c r="F14" s="54" t="s">
        <v>11</v>
      </c>
      <c r="G14" s="85" t="s">
        <v>84</v>
      </c>
      <c r="H14" s="233">
        <f>H4*H21*H43*H44</f>
        <v>3.5890855297912489E-7</v>
      </c>
      <c r="I14" s="89" t="s">
        <v>107</v>
      </c>
      <c r="J14" s="85" t="s">
        <v>84</v>
      </c>
      <c r="K14" s="233">
        <f>K4*K21*K43*K44</f>
        <v>6.7176980738472927E-7</v>
      </c>
      <c r="L14" s="89" t="s">
        <v>107</v>
      </c>
      <c r="M14" s="38" t="s">
        <v>210</v>
      </c>
      <c r="N14" s="53">
        <f>B9</f>
        <v>1.036E-3</v>
      </c>
      <c r="O14" s="28" t="s">
        <v>11</v>
      </c>
      <c r="P14" s="93" t="s">
        <v>84</v>
      </c>
      <c r="Q14" s="230">
        <f>Q4*Q21*Q43*Q44</f>
        <v>3.5890855297912489E-7</v>
      </c>
      <c r="R14" s="98" t="s">
        <v>107</v>
      </c>
      <c r="S14" s="93" t="s">
        <v>84</v>
      </c>
      <c r="T14" s="230">
        <f>T4*T21*T43*T44</f>
        <v>6.7176980738472896E-7</v>
      </c>
      <c r="U14" s="98" t="s">
        <v>107</v>
      </c>
      <c r="V14" s="38" t="s">
        <v>210</v>
      </c>
      <c r="W14" s="53">
        <f>B9</f>
        <v>1.036E-3</v>
      </c>
      <c r="X14" s="54" t="s">
        <v>11</v>
      </c>
      <c r="Y14" s="77" t="s">
        <v>84</v>
      </c>
      <c r="Z14" s="224">
        <f>Z4*Z21*Z43*Z44</f>
        <v>3.5890855297912489E-7</v>
      </c>
      <c r="AA14" s="82" t="s">
        <v>107</v>
      </c>
      <c r="AB14" s="77" t="s">
        <v>84</v>
      </c>
      <c r="AC14" s="224">
        <f>AC4*AC21*AC43*AC44</f>
        <v>6.7176980738472896E-7</v>
      </c>
      <c r="AD14" s="82" t="s">
        <v>107</v>
      </c>
      <c r="AE14" s="38" t="s">
        <v>210</v>
      </c>
      <c r="AF14" s="53">
        <f>B9</f>
        <v>1.036E-3</v>
      </c>
      <c r="AG14" s="54" t="s">
        <v>11</v>
      </c>
      <c r="AH14" s="176" t="s">
        <v>84</v>
      </c>
      <c r="AI14" s="227">
        <f>AI4*AI21*AI43*AI44</f>
        <v>2.3927236865274996E-6</v>
      </c>
      <c r="AJ14" s="181" t="s">
        <v>107</v>
      </c>
      <c r="AK14" s="176" t="s">
        <v>84</v>
      </c>
      <c r="AL14" s="227">
        <f>AL4*AL21*AL43*AL44</f>
        <v>4.4784653825648613E-6</v>
      </c>
      <c r="AM14" s="181" t="s">
        <v>107</v>
      </c>
    </row>
    <row r="15" spans="1:39" s="1" customFormat="1" ht="14.25" x14ac:dyDescent="0.2">
      <c r="A15" s="57" t="s">
        <v>117</v>
      </c>
      <c r="B15" s="333">
        <v>15429.68</v>
      </c>
      <c r="C15" s="38" t="s">
        <v>200</v>
      </c>
      <c r="D15" s="54" t="s">
        <v>22</v>
      </c>
      <c r="E15" s="53">
        <f>B7</f>
        <v>3.8043873993229303E-2</v>
      </c>
      <c r="F15" s="54" t="s">
        <v>201</v>
      </c>
      <c r="G15" s="85" t="s">
        <v>85</v>
      </c>
      <c r="H15" s="233">
        <f>H5*H21*H43*H44</f>
        <v>1.2489047620557385E-7</v>
      </c>
      <c r="I15" s="89" t="s">
        <v>107</v>
      </c>
      <c r="J15" s="85" t="s">
        <v>85</v>
      </c>
      <c r="K15" s="233">
        <f>K5*K21*K43*K44</f>
        <v>1.9804160346309426E-7</v>
      </c>
      <c r="L15" s="89" t="s">
        <v>107</v>
      </c>
      <c r="M15" s="54" t="s">
        <v>22</v>
      </c>
      <c r="N15" s="53">
        <f>B7</f>
        <v>3.8043873993229303E-2</v>
      </c>
      <c r="O15" s="28" t="s">
        <v>201</v>
      </c>
      <c r="P15" s="93" t="s">
        <v>85</v>
      </c>
      <c r="Q15" s="230">
        <f>Q5*Q21*Q43*Q44</f>
        <v>1.2489047620557382E-7</v>
      </c>
      <c r="R15" s="98" t="s">
        <v>107</v>
      </c>
      <c r="S15" s="93" t="s">
        <v>85</v>
      </c>
      <c r="T15" s="230">
        <f>T5*T21*T43*T44</f>
        <v>1.9804160346309423E-7</v>
      </c>
      <c r="U15" s="98" t="s">
        <v>107</v>
      </c>
      <c r="V15" s="54" t="s">
        <v>22</v>
      </c>
      <c r="W15" s="53">
        <f>B7</f>
        <v>3.8043873993229303E-2</v>
      </c>
      <c r="X15" s="54" t="s">
        <v>201</v>
      </c>
      <c r="Y15" s="77" t="s">
        <v>85</v>
      </c>
      <c r="Z15" s="224">
        <f>Z5*Z21*Z43*Z44</f>
        <v>1.2489047620557382E-7</v>
      </c>
      <c r="AA15" s="82" t="s">
        <v>107</v>
      </c>
      <c r="AB15" s="77" t="s">
        <v>85</v>
      </c>
      <c r="AC15" s="224">
        <f>AC5*AC21*AC43*AC44</f>
        <v>1.9804160346309423E-7</v>
      </c>
      <c r="AD15" s="82" t="s">
        <v>107</v>
      </c>
      <c r="AE15" s="54" t="s">
        <v>22</v>
      </c>
      <c r="AF15" s="53">
        <f>B7</f>
        <v>3.8043873993229303E-2</v>
      </c>
      <c r="AG15" s="54" t="s">
        <v>201</v>
      </c>
      <c r="AH15" s="176" t="s">
        <v>85</v>
      </c>
      <c r="AI15" s="227">
        <f>AI5*AI21*AI43*AI44</f>
        <v>8.3260317470382557E-7</v>
      </c>
      <c r="AJ15" s="181" t="s">
        <v>107</v>
      </c>
      <c r="AK15" s="176" t="s">
        <v>85</v>
      </c>
      <c r="AL15" s="227">
        <f>AL5*AL21*AL43*AL44</f>
        <v>1.320277356420628E-6</v>
      </c>
      <c r="AM15" s="181" t="s">
        <v>107</v>
      </c>
    </row>
    <row r="16" spans="1:39" s="1" customFormat="1" ht="15" thickBot="1" x14ac:dyDescent="0.25">
      <c r="A16" s="59" t="s">
        <v>9</v>
      </c>
      <c r="B16" s="333">
        <v>1600</v>
      </c>
      <c r="C16" s="39" t="s">
        <v>118</v>
      </c>
      <c r="D16" s="54" t="s">
        <v>23</v>
      </c>
      <c r="E16" s="53">
        <f>B11</f>
        <v>1.9522299999999999</v>
      </c>
      <c r="F16" s="54" t="s">
        <v>198</v>
      </c>
      <c r="G16" s="87" t="s">
        <v>86</v>
      </c>
      <c r="H16" s="234">
        <f>H6*H21*H43*H44</f>
        <v>7.8155562276638196E-8</v>
      </c>
      <c r="I16" s="90" t="s">
        <v>107</v>
      </c>
      <c r="J16" s="87" t="s">
        <v>86</v>
      </c>
      <c r="K16" s="234">
        <f>K6*K21*K43*K44</f>
        <v>1.2153095770689194E-7</v>
      </c>
      <c r="L16" s="90" t="s">
        <v>107</v>
      </c>
      <c r="M16" s="54" t="s">
        <v>23</v>
      </c>
      <c r="N16" s="53">
        <f>B11</f>
        <v>1.9522299999999999</v>
      </c>
      <c r="O16" s="28" t="s">
        <v>201</v>
      </c>
      <c r="P16" s="95" t="s">
        <v>86</v>
      </c>
      <c r="Q16" s="231">
        <f>Q6*Q21*Q43*Q44</f>
        <v>7.8155562276638196E-8</v>
      </c>
      <c r="R16" s="99" t="s">
        <v>107</v>
      </c>
      <c r="S16" s="95" t="s">
        <v>86</v>
      </c>
      <c r="T16" s="231">
        <f>T6*T21*T43*T44</f>
        <v>1.2153095770689194E-7</v>
      </c>
      <c r="U16" s="99" t="s">
        <v>107</v>
      </c>
      <c r="V16" s="54" t="s">
        <v>23</v>
      </c>
      <c r="W16" s="53">
        <f>B11</f>
        <v>1.9522299999999999</v>
      </c>
      <c r="X16" s="54" t="s">
        <v>201</v>
      </c>
      <c r="Y16" s="79" t="s">
        <v>86</v>
      </c>
      <c r="Z16" s="225">
        <f>Z6*Z21*Z43*Z44</f>
        <v>7.8155562276638196E-8</v>
      </c>
      <c r="AA16" s="83" t="s">
        <v>107</v>
      </c>
      <c r="AB16" s="79" t="s">
        <v>86</v>
      </c>
      <c r="AC16" s="225">
        <f>AC6*AC21*AC43*AC44</f>
        <v>1.2153095770689194E-7</v>
      </c>
      <c r="AD16" s="83" t="s">
        <v>107</v>
      </c>
      <c r="AE16" s="54" t="s">
        <v>23</v>
      </c>
      <c r="AF16" s="53">
        <f>B11</f>
        <v>1.9522299999999999</v>
      </c>
      <c r="AG16" s="54" t="s">
        <v>201</v>
      </c>
      <c r="AH16" s="178" t="s">
        <v>86</v>
      </c>
      <c r="AI16" s="228">
        <f>AI6*AI21*AI43*AI44</f>
        <v>5.2103708184425469E-7</v>
      </c>
      <c r="AJ16" s="182" t="s">
        <v>107</v>
      </c>
      <c r="AK16" s="178" t="s">
        <v>86</v>
      </c>
      <c r="AL16" s="228">
        <f>AL6*AL21*AL43*AL44</f>
        <v>8.1020638471261291E-7</v>
      </c>
      <c r="AM16" s="182" t="s">
        <v>107</v>
      </c>
    </row>
    <row r="17" spans="1:39" s="1" customFormat="1" ht="14.25" x14ac:dyDescent="0.2">
      <c r="A17" s="38" t="s">
        <v>141</v>
      </c>
      <c r="B17" s="328">
        <v>0.79192166462668301</v>
      </c>
      <c r="C17" s="40"/>
      <c r="D17" s="28" t="s">
        <v>92</v>
      </c>
      <c r="E17" s="47">
        <f>(E8*E9*E11)/(((1-EXP(-E10*E9))/(E10*E9))*E12*E14*E22)</f>
        <v>7.7663949396500048E-3</v>
      </c>
      <c r="F17" s="28" t="s">
        <v>94</v>
      </c>
      <c r="G17" t="s">
        <v>21</v>
      </c>
      <c r="H17" s="220">
        <f>B6</f>
        <v>1</v>
      </c>
      <c r="I17"/>
      <c r="J17" t="s">
        <v>21</v>
      </c>
      <c r="K17" s="220">
        <f>B6</f>
        <v>1</v>
      </c>
      <c r="L17"/>
      <c r="M17" s="28" t="s">
        <v>92</v>
      </c>
      <c r="N17" s="47">
        <f>(N8*N9*N11)/(((1-EXP(-N10*N9))/(N10*N9))*N12*N14*N22*N28)</f>
        <v>2.7280508565173407E-2</v>
      </c>
      <c r="O17" s="28" t="s">
        <v>94</v>
      </c>
      <c r="P17" t="s">
        <v>21</v>
      </c>
      <c r="Q17" s="220">
        <f>B6</f>
        <v>1</v>
      </c>
      <c r="R17"/>
      <c r="S17" t="s">
        <v>21</v>
      </c>
      <c r="T17" s="220">
        <f>B6</f>
        <v>1</v>
      </c>
      <c r="U17"/>
      <c r="V17" s="28" t="s">
        <v>92</v>
      </c>
      <c r="W17" s="47">
        <f>(W8*W9*W11)/(((1-EXP(-W10*W9))/(W10*W9))*W12*W14*W22*W28)</f>
        <v>2.7280508565173407E-2</v>
      </c>
      <c r="X17" s="28" t="s">
        <v>94</v>
      </c>
      <c r="Y17" t="s">
        <v>21</v>
      </c>
      <c r="Z17" s="220">
        <f>B6</f>
        <v>1</v>
      </c>
      <c r="AA17"/>
      <c r="AB17" t="s">
        <v>21</v>
      </c>
      <c r="AC17" s="220">
        <f>B6</f>
        <v>1</v>
      </c>
      <c r="AD17"/>
      <c r="AE17" s="28" t="s">
        <v>92</v>
      </c>
      <c r="AF17" s="47">
        <f>(AF8*AF9*AF11)/(((1-EXP(-AF10*AF9))/(AF10*AF9))*AF12*AF14*AF22*AF28)</f>
        <v>2.7280508565173407E-2</v>
      </c>
      <c r="AG17" s="28" t="s">
        <v>94</v>
      </c>
      <c r="AH17" t="s">
        <v>21</v>
      </c>
      <c r="AI17" s="220">
        <f>B6</f>
        <v>1</v>
      </c>
      <c r="AJ17"/>
      <c r="AK17" t="s">
        <v>21</v>
      </c>
      <c r="AL17" s="220">
        <f>B6</f>
        <v>1</v>
      </c>
      <c r="AM17"/>
    </row>
    <row r="18" spans="1:39" s="1" customFormat="1" ht="19.5" x14ac:dyDescent="0.35">
      <c r="A18" s="38" t="s">
        <v>142</v>
      </c>
      <c r="B18" s="328">
        <v>0.45572139303482601</v>
      </c>
      <c r="C18" s="40"/>
      <c r="D18" s="28" t="s">
        <v>166</v>
      </c>
      <c r="E18" s="46">
        <f>(E8*E9*E11)/(((1-EXP(-E10*E9))/(E10*E9))*E12*E15*E23*(1/E48)*E47*(E41+E42)*(1/24))</f>
        <v>3.9321904333488381E-3</v>
      </c>
      <c r="F18" s="28" t="s">
        <v>94</v>
      </c>
      <c r="G18" s="54" t="s">
        <v>206</v>
      </c>
      <c r="H18" s="221">
        <f>H28</f>
        <v>1</v>
      </c>
      <c r="I18" t="s">
        <v>205</v>
      </c>
      <c r="J18" s="54" t="s">
        <v>206</v>
      </c>
      <c r="K18" s="221">
        <f>K28</f>
        <v>1</v>
      </c>
      <c r="L18" t="s">
        <v>205</v>
      </c>
      <c r="M18" s="28" t="s">
        <v>166</v>
      </c>
      <c r="N18" s="46">
        <f>(N8*N9*N11)/(((1-EXP(-N10*N9))/(N10*N9))*N12*N15*N29*N25*N28*(1/N38)*N37)</f>
        <v>6.0800518078072774E-4</v>
      </c>
      <c r="O18" s="28" t="s">
        <v>94</v>
      </c>
      <c r="P18" s="54" t="s">
        <v>207</v>
      </c>
      <c r="Q18" s="221">
        <f>Q28</f>
        <v>1</v>
      </c>
      <c r="R18" t="s">
        <v>205</v>
      </c>
      <c r="S18" s="54" t="s">
        <v>207</v>
      </c>
      <c r="T18" s="221">
        <f>T28</f>
        <v>1</v>
      </c>
      <c r="U18" t="s">
        <v>205</v>
      </c>
      <c r="V18" s="28" t="s">
        <v>166</v>
      </c>
      <c r="W18" s="46">
        <f>(W8*W9*W11)/(((1-EXP(-W10*W9))/(W10*W9))*W12*W15*W29*W25*W28*(1/W38)*W37)</f>
        <v>6.0800518078072774E-4</v>
      </c>
      <c r="X18" s="28" t="s">
        <v>94</v>
      </c>
      <c r="Y18" s="54" t="s">
        <v>208</v>
      </c>
      <c r="Z18" s="221">
        <f>Z28</f>
        <v>1</v>
      </c>
      <c r="AA18" t="s">
        <v>205</v>
      </c>
      <c r="AB18" s="54" t="s">
        <v>208</v>
      </c>
      <c r="AC18" s="221">
        <f>AC28</f>
        <v>1</v>
      </c>
      <c r="AD18" t="s">
        <v>205</v>
      </c>
      <c r="AE18" s="28" t="s">
        <v>166</v>
      </c>
      <c r="AF18" s="46">
        <f>(AF8*AF9*AF11)/(((1-EXP(-AF10*AF9))/(AF10*AF9))*AF12*AF15*AF29*AF25*AF28*(1/AF38)*AF37)</f>
        <v>3.8428237558120506E-5</v>
      </c>
      <c r="AG18" s="28" t="s">
        <v>94</v>
      </c>
      <c r="AH18" s="54" t="s">
        <v>140</v>
      </c>
      <c r="AI18" s="221">
        <f>AI28</f>
        <v>1</v>
      </c>
      <c r="AJ18" t="s">
        <v>205</v>
      </c>
      <c r="AK18" s="54" t="s">
        <v>140</v>
      </c>
      <c r="AL18" s="221">
        <f>AL28</f>
        <v>1</v>
      </c>
      <c r="AM18" t="s">
        <v>205</v>
      </c>
    </row>
    <row r="19" spans="1:39" s="1" customFormat="1" ht="14.25" x14ac:dyDescent="0.2">
      <c r="A19" s="38" t="s">
        <v>143</v>
      </c>
      <c r="B19" s="328">
        <v>0.62403100775193798</v>
      </c>
      <c r="C19" s="40"/>
      <c r="D19" s="28" t="s">
        <v>165</v>
      </c>
      <c r="E19" s="46">
        <f>(E8*E9*E11)/(((1-EXP(-E10*E9))/(E10*E9))*E12*E15*E23*(1/E49)*E47*(E41+E42)*(1/24))</f>
        <v>0.14508106597197626</v>
      </c>
      <c r="F19" s="28" t="s">
        <v>94</v>
      </c>
      <c r="G19" s="29" t="s">
        <v>1</v>
      </c>
      <c r="H19" s="51">
        <f>0.693/H21</f>
        <v>4.3312499999999997E-4</v>
      </c>
      <c r="I19" s="29"/>
      <c r="J19" s="29" t="s">
        <v>1</v>
      </c>
      <c r="K19" s="51">
        <f>0.693/K21</f>
        <v>4.3312499999999997E-4</v>
      </c>
      <c r="L19"/>
      <c r="M19" s="28" t="s">
        <v>165</v>
      </c>
      <c r="N19" s="46">
        <f>(N8*N9*N11)/(((1-EXP(-N10*N9))/(N10*N9))*N12*N15*N29*N25*N28*(1/N39)*N37)</f>
        <v>4.70788059079063E-2</v>
      </c>
      <c r="O19" s="28" t="s">
        <v>94</v>
      </c>
      <c r="P19" s="29" t="s">
        <v>1</v>
      </c>
      <c r="Q19" s="51">
        <f>0.693/Q21</f>
        <v>4.3312499999999997E-4</v>
      </c>
      <c r="R19" s="29"/>
      <c r="S19" s="29" t="s">
        <v>1</v>
      </c>
      <c r="T19" s="51">
        <f>0.693/T21</f>
        <v>4.3312499999999997E-4</v>
      </c>
      <c r="U19"/>
      <c r="V19" s="28" t="s">
        <v>165</v>
      </c>
      <c r="W19" s="46">
        <f>(W8*W9*W11)/(((1-EXP(-W10*W9))/(W10*W9))*W12*W15*W29*W25*W28*(1/W39)*W37)</f>
        <v>4.70788059079063E-2</v>
      </c>
      <c r="X19" s="28" t="s">
        <v>94</v>
      </c>
      <c r="Y19" s="29" t="s">
        <v>1</v>
      </c>
      <c r="Z19" s="51">
        <f>0.693/Z21</f>
        <v>4.3312499999999997E-4</v>
      </c>
      <c r="AA19"/>
      <c r="AB19" s="29" t="s">
        <v>1</v>
      </c>
      <c r="AC19" s="51">
        <f>0.693/AC21</f>
        <v>4.3312499999999997E-4</v>
      </c>
      <c r="AD19" s="29"/>
      <c r="AE19" s="28" t="s">
        <v>165</v>
      </c>
      <c r="AF19" s="46">
        <f>(AF8*AF9*AF11)/(((1-EXP(-AF10*AF9))/(AF10*AF9))*AF12*AF15*AF29*AF25*AF28*(1/AF39)*AF37)</f>
        <v>4.70788059079063E-2</v>
      </c>
      <c r="AG19" s="28" t="s">
        <v>94</v>
      </c>
      <c r="AH19" s="29" t="s">
        <v>1</v>
      </c>
      <c r="AI19" s="51">
        <f>0.693/AI21</f>
        <v>4.3312499999999997E-4</v>
      </c>
      <c r="AJ19" s="29"/>
      <c r="AK19" s="29" t="s">
        <v>1</v>
      </c>
      <c r="AL19" s="51">
        <f>0.693/AL21</f>
        <v>4.3312499999999997E-4</v>
      </c>
      <c r="AM19"/>
    </row>
    <row r="20" spans="1:39" s="1" customFormat="1" ht="14.25" x14ac:dyDescent="0.2">
      <c r="A20" s="38" t="s">
        <v>144</v>
      </c>
      <c r="B20" s="328">
        <v>0.73657289002557502</v>
      </c>
      <c r="C20"/>
      <c r="D20" s="28" t="s">
        <v>93</v>
      </c>
      <c r="E20" s="45">
        <f>(E8*E9*E11)/(((1-EXP(-E10*E9))/(E10*E9))*E12*E16*E39*E40*E28*(1/365)*E46*((E41*E44)+(E42*E45))*(1/24))</f>
        <v>2.1523413544844745</v>
      </c>
      <c r="F20" s="28" t="s">
        <v>94</v>
      </c>
      <c r="G20" s="28" t="s">
        <v>126</v>
      </c>
      <c r="H20" s="51">
        <f>(1-EXP(-H19*H18))</f>
        <v>4.3303121490789742E-4</v>
      </c>
      <c r="I20"/>
      <c r="J20" s="28" t="s">
        <v>126</v>
      </c>
      <c r="K20" s="51">
        <f>(1-EXP(-K19*K18))</f>
        <v>4.3303121490789742E-4</v>
      </c>
      <c r="L20"/>
      <c r="M20" s="28" t="s">
        <v>93</v>
      </c>
      <c r="N20" s="45">
        <f>(N8*N9*N11)/(((1-EXP(-N10*N9))/(N10*N9))*N12*N16*N31*N32*N36*N28*(1/365)*N34*N25*(1/24))</f>
        <v>2.1523413544844749</v>
      </c>
      <c r="O20" s="28" t="s">
        <v>94</v>
      </c>
      <c r="P20" s="28" t="s">
        <v>126</v>
      </c>
      <c r="Q20" s="51">
        <f>(1-EXP(-Q19*Q18))</f>
        <v>4.3303121490789742E-4</v>
      </c>
      <c r="R20"/>
      <c r="S20" s="28" t="s">
        <v>126</v>
      </c>
      <c r="T20" s="51">
        <f>(1-EXP(-T19*T18))</f>
        <v>4.3303121490789742E-4</v>
      </c>
      <c r="U20"/>
      <c r="V20" s="28" t="s">
        <v>93</v>
      </c>
      <c r="W20" s="45">
        <f>(W8*W9*W11)/(((1-EXP(-W10*W9))/(W10*W9))*W12*W16*W31*W32*W36*W28*(1/365)*W34*W25*(1/24))</f>
        <v>2.1523413544844749</v>
      </c>
      <c r="X20" s="28" t="s">
        <v>94</v>
      </c>
      <c r="Y20" s="28" t="s">
        <v>126</v>
      </c>
      <c r="Z20" s="51">
        <f>(1-EXP(-Z19*Z18))</f>
        <v>4.3303121490789742E-4</v>
      </c>
      <c r="AA20"/>
      <c r="AB20" s="28" t="s">
        <v>126</v>
      </c>
      <c r="AC20" s="51">
        <f>(1-EXP(-AC19*AC18))</f>
        <v>4.3303121490789742E-4</v>
      </c>
      <c r="AD20"/>
      <c r="AE20" s="28" t="s">
        <v>93</v>
      </c>
      <c r="AF20" s="45">
        <f>(AF8*AF9*AF11)/(((1-EXP(-AF10*AF9))/(AF10*AF9))*AF12*AF16*AF35*AF31*AF32*AF36*AF25*(1/24)*AF28*(1/365))</f>
        <v>14.348942363229829</v>
      </c>
      <c r="AG20" s="28" t="s">
        <v>94</v>
      </c>
      <c r="AH20" s="28" t="s">
        <v>126</v>
      </c>
      <c r="AI20" s="51">
        <f>(1-EXP(-AI19*AI18))</f>
        <v>4.3303121490789742E-4</v>
      </c>
      <c r="AJ20"/>
      <c r="AK20" s="28" t="s">
        <v>126</v>
      </c>
      <c r="AL20" s="51">
        <f>(1-EXP(-AL19*AL18))</f>
        <v>4.3303121490789742E-4</v>
      </c>
      <c r="AM20"/>
    </row>
    <row r="21" spans="1:39" s="1" customFormat="1" ht="14.25" x14ac:dyDescent="0.2">
      <c r="A21" s="38" t="s">
        <v>145</v>
      </c>
      <c r="B21" s="328">
        <v>0.75113122171945701</v>
      </c>
      <c r="C21"/>
      <c r="D21" s="28"/>
      <c r="E21" s="32"/>
      <c r="F21" s="28"/>
      <c r="G21" s="56" t="s">
        <v>9</v>
      </c>
      <c r="H21" s="53">
        <f>B16</f>
        <v>1600</v>
      </c>
      <c r="I21" s="2" t="s">
        <v>10</v>
      </c>
      <c r="J21" s="56" t="s">
        <v>9</v>
      </c>
      <c r="K21" s="43">
        <f>B16</f>
        <v>1600</v>
      </c>
      <c r="L21" s="1" t="s">
        <v>10</v>
      </c>
      <c r="M21" s="28"/>
      <c r="N21" s="32"/>
      <c r="O21" s="28"/>
      <c r="P21" s="56" t="s">
        <v>9</v>
      </c>
      <c r="Q21" s="53">
        <f>B16</f>
        <v>1600</v>
      </c>
      <c r="R21" s="2" t="s">
        <v>10</v>
      </c>
      <c r="S21" s="56" t="s">
        <v>9</v>
      </c>
      <c r="T21" s="43">
        <f>B16</f>
        <v>1600</v>
      </c>
      <c r="U21" s="1" t="s">
        <v>10</v>
      </c>
      <c r="V21" s="28"/>
      <c r="W21" s="28"/>
      <c r="X21" s="28"/>
      <c r="Y21" s="56" t="s">
        <v>9</v>
      </c>
      <c r="Z21" s="43">
        <f>B16</f>
        <v>1600</v>
      </c>
      <c r="AA21" s="1" t="s">
        <v>10</v>
      </c>
      <c r="AB21" s="56" t="s">
        <v>9</v>
      </c>
      <c r="AC21" s="53">
        <f>B16</f>
        <v>1600</v>
      </c>
      <c r="AD21" s="2" t="s">
        <v>10</v>
      </c>
      <c r="AE21" s="28"/>
      <c r="AF21" s="32"/>
      <c r="AG21" s="28"/>
      <c r="AH21" s="56" t="s">
        <v>9</v>
      </c>
      <c r="AI21" s="53">
        <f>B16</f>
        <v>1600</v>
      </c>
      <c r="AJ21" s="2" t="s">
        <v>10</v>
      </c>
      <c r="AK21" s="56" t="s">
        <v>9</v>
      </c>
      <c r="AL21" s="43">
        <f>B16</f>
        <v>1600</v>
      </c>
      <c r="AM21" s="1" t="s">
        <v>10</v>
      </c>
    </row>
    <row r="22" spans="1:39" s="1" customFormat="1" ht="14.25" x14ac:dyDescent="0.2">
      <c r="A22" s="58" t="s">
        <v>102</v>
      </c>
      <c r="B22" s="209">
        <v>226.025409</v>
      </c>
      <c r="C22" s="40" t="s">
        <v>103</v>
      </c>
      <c r="D22" s="60" t="s">
        <v>220</v>
      </c>
      <c r="E22" s="61">
        <f>(E24*E27*E29*E25*E31*E33*E35)+(E24*E26*E28*E25*E30*E32*E34)</f>
        <v>92193.75</v>
      </c>
      <c r="F22" s="62" t="s">
        <v>24</v>
      </c>
      <c r="G22" s="38" t="s">
        <v>113</v>
      </c>
      <c r="H22" s="220">
        <f>B10</f>
        <v>10.423439999999999</v>
      </c>
      <c r="I22" s="38" t="s">
        <v>198</v>
      </c>
      <c r="J22" s="38" t="s">
        <v>113</v>
      </c>
      <c r="K22" s="220">
        <f>B10</f>
        <v>10.423439999999999</v>
      </c>
      <c r="L22" s="38" t="s">
        <v>198</v>
      </c>
      <c r="M22" s="60" t="s">
        <v>217</v>
      </c>
      <c r="N22" s="71">
        <f>N23*N25*N24*N26*N27</f>
        <v>773.4375</v>
      </c>
      <c r="O22" s="62" t="s">
        <v>24</v>
      </c>
      <c r="P22" s="38" t="s">
        <v>113</v>
      </c>
      <c r="Q22" s="220">
        <f>B10</f>
        <v>10.423439999999999</v>
      </c>
      <c r="R22" s="38" t="s">
        <v>198</v>
      </c>
      <c r="S22" s="38" t="s">
        <v>113</v>
      </c>
      <c r="T22" s="220">
        <f>B10</f>
        <v>10.423439999999999</v>
      </c>
      <c r="U22" s="38" t="s">
        <v>198</v>
      </c>
      <c r="V22" s="60" t="s">
        <v>218</v>
      </c>
      <c r="W22" s="71">
        <f>W23*W25*W24*W26*W27</f>
        <v>773.4375</v>
      </c>
      <c r="X22" s="62" t="s">
        <v>24</v>
      </c>
      <c r="Y22" s="38" t="s">
        <v>113</v>
      </c>
      <c r="Z22" s="220">
        <f>B10</f>
        <v>10.423439999999999</v>
      </c>
      <c r="AA22" s="38" t="s">
        <v>198</v>
      </c>
      <c r="AB22" s="38" t="s">
        <v>113</v>
      </c>
      <c r="AC22" s="220">
        <f>B10</f>
        <v>10.423439999999999</v>
      </c>
      <c r="AD22" s="38" t="s">
        <v>198</v>
      </c>
      <c r="AE22" s="60" t="s">
        <v>219</v>
      </c>
      <c r="AF22" s="71">
        <f>AF23*AF25*AF24*AF26*AF27</f>
        <v>773.4375</v>
      </c>
      <c r="AG22" s="62" t="s">
        <v>24</v>
      </c>
      <c r="AH22" s="38" t="s">
        <v>113</v>
      </c>
      <c r="AI22" s="220">
        <f>B10</f>
        <v>10.423439999999999</v>
      </c>
      <c r="AJ22" s="38" t="s">
        <v>198</v>
      </c>
      <c r="AK22" s="38" t="s">
        <v>113</v>
      </c>
      <c r="AL22" s="220">
        <f>B10</f>
        <v>10.423439999999999</v>
      </c>
      <c r="AM22" s="38" t="s">
        <v>198</v>
      </c>
    </row>
    <row r="23" spans="1:39" s="1" customFormat="1" ht="14.25" x14ac:dyDescent="0.2">
      <c r="A23" t="s">
        <v>90</v>
      </c>
      <c r="B23" s="188">
        <v>1.1679999999999999</v>
      </c>
      <c r="C23"/>
      <c r="D23" s="63" t="s">
        <v>221</v>
      </c>
      <c r="E23" s="64">
        <f>(E37*E29*E31)+(E36*E28*E30)</f>
        <v>486.75</v>
      </c>
      <c r="F23" s="65" t="s">
        <v>25</v>
      </c>
      <c r="G23" s="38" t="s">
        <v>23</v>
      </c>
      <c r="H23" s="220">
        <f>B11</f>
        <v>1.9522299999999999</v>
      </c>
      <c r="I23" s="38" t="s">
        <v>199</v>
      </c>
      <c r="J23" s="38" t="s">
        <v>23</v>
      </c>
      <c r="K23" s="220">
        <f>B11</f>
        <v>1.9522299999999999</v>
      </c>
      <c r="L23" s="38" t="s">
        <v>199</v>
      </c>
      <c r="M23" s="63" t="s">
        <v>162</v>
      </c>
      <c r="N23" s="66">
        <f>B27</f>
        <v>0.75</v>
      </c>
      <c r="O23" s="65"/>
      <c r="P23" s="38" t="s">
        <v>23</v>
      </c>
      <c r="Q23" s="220">
        <f>B11</f>
        <v>1.9522299999999999</v>
      </c>
      <c r="R23" s="38" t="s">
        <v>199</v>
      </c>
      <c r="S23" s="38" t="s">
        <v>23</v>
      </c>
      <c r="T23" s="220">
        <f>B11</f>
        <v>1.9522299999999999</v>
      </c>
      <c r="U23" s="38" t="s">
        <v>199</v>
      </c>
      <c r="V23" s="63" t="s">
        <v>162</v>
      </c>
      <c r="W23" s="66">
        <f>B27</f>
        <v>0.75</v>
      </c>
      <c r="X23" s="65"/>
      <c r="Y23" s="38" t="s">
        <v>23</v>
      </c>
      <c r="Z23" s="220">
        <f>B11</f>
        <v>1.9522299999999999</v>
      </c>
      <c r="AA23" s="38" t="s">
        <v>199</v>
      </c>
      <c r="AB23" s="38" t="s">
        <v>23</v>
      </c>
      <c r="AC23" s="220">
        <f>B11</f>
        <v>1.9522299999999999</v>
      </c>
      <c r="AD23" s="38" t="s">
        <v>199</v>
      </c>
      <c r="AE23" s="63" t="s">
        <v>162</v>
      </c>
      <c r="AF23" s="66">
        <f>B27</f>
        <v>0.75</v>
      </c>
      <c r="AG23" s="65"/>
      <c r="AH23" s="38" t="s">
        <v>23</v>
      </c>
      <c r="AI23" s="220">
        <f>B11</f>
        <v>1.9522299999999999</v>
      </c>
      <c r="AJ23" s="38" t="s">
        <v>199</v>
      </c>
      <c r="AK23" s="38" t="s">
        <v>23</v>
      </c>
      <c r="AL23" s="220">
        <f>B11</f>
        <v>1.9522299999999999</v>
      </c>
      <c r="AM23" s="38" t="s">
        <v>199</v>
      </c>
    </row>
    <row r="24" spans="1:39" s="1" customFormat="1" ht="14.25" x14ac:dyDescent="0.2">
      <c r="A24" s="28" t="s">
        <v>139</v>
      </c>
      <c r="B24" s="55">
        <v>2</v>
      </c>
      <c r="C24"/>
      <c r="D24" s="63" t="s">
        <v>162</v>
      </c>
      <c r="E24" s="66">
        <f>B27</f>
        <v>0.75</v>
      </c>
      <c r="F24" s="65"/>
      <c r="G24" s="38" t="s">
        <v>114</v>
      </c>
      <c r="H24" s="220">
        <f>B12</f>
        <v>1.92404</v>
      </c>
      <c r="I24" s="38" t="s">
        <v>198</v>
      </c>
      <c r="J24" s="38" t="s">
        <v>114</v>
      </c>
      <c r="K24" s="220">
        <f>B12</f>
        <v>1.92404</v>
      </c>
      <c r="L24" s="38" t="s">
        <v>198</v>
      </c>
      <c r="M24" s="63" t="s">
        <v>119</v>
      </c>
      <c r="N24" s="66">
        <f>B28</f>
        <v>0.75</v>
      </c>
      <c r="O24" s="65"/>
      <c r="P24" s="38" t="s">
        <v>114</v>
      </c>
      <c r="Q24" s="220">
        <f>B12</f>
        <v>1.92404</v>
      </c>
      <c r="R24" s="38" t="s">
        <v>198</v>
      </c>
      <c r="S24" s="38" t="s">
        <v>114</v>
      </c>
      <c r="T24" s="220">
        <f>B12</f>
        <v>1.92404</v>
      </c>
      <c r="U24" s="38" t="s">
        <v>198</v>
      </c>
      <c r="V24" s="63" t="s">
        <v>119</v>
      </c>
      <c r="W24" s="66">
        <f>B28</f>
        <v>0.75</v>
      </c>
      <c r="X24" s="65"/>
      <c r="Y24" s="38" t="s">
        <v>114</v>
      </c>
      <c r="Z24" s="220">
        <f>B12</f>
        <v>1.92404</v>
      </c>
      <c r="AA24" s="38" t="s">
        <v>198</v>
      </c>
      <c r="AB24" s="38" t="s">
        <v>114</v>
      </c>
      <c r="AC24" s="220">
        <f>B12</f>
        <v>1.92404</v>
      </c>
      <c r="AD24" s="38" t="s">
        <v>198</v>
      </c>
      <c r="AE24" s="63" t="s">
        <v>119</v>
      </c>
      <c r="AF24" s="66">
        <f>B28</f>
        <v>0.75</v>
      </c>
      <c r="AG24" s="65"/>
      <c r="AH24" s="38" t="s">
        <v>114</v>
      </c>
      <c r="AI24" s="220">
        <f>B12</f>
        <v>1.92404</v>
      </c>
      <c r="AJ24" s="38" t="s">
        <v>198</v>
      </c>
      <c r="AK24" s="38" t="s">
        <v>114</v>
      </c>
      <c r="AL24" s="220">
        <f>B12</f>
        <v>1.92404</v>
      </c>
      <c r="AM24" s="38" t="s">
        <v>198</v>
      </c>
    </row>
    <row r="25" spans="1:39" s="1" customFormat="1" ht="14.25" x14ac:dyDescent="0.2">
      <c r="A25" s="28" t="s">
        <v>3</v>
      </c>
      <c r="B25" s="55">
        <v>2</v>
      </c>
      <c r="C25" s="37"/>
      <c r="D25" s="63" t="s">
        <v>119</v>
      </c>
      <c r="E25" s="66">
        <f>B28</f>
        <v>0.75</v>
      </c>
      <c r="F25" s="65"/>
      <c r="G25" s="38" t="s">
        <v>115</v>
      </c>
      <c r="H25" s="220">
        <f>B13</f>
        <v>5.52928</v>
      </c>
      <c r="I25" s="38" t="s">
        <v>198</v>
      </c>
      <c r="J25" s="38" t="s">
        <v>115</v>
      </c>
      <c r="K25" s="220">
        <f>B13</f>
        <v>5.52928</v>
      </c>
      <c r="L25" s="38" t="s">
        <v>198</v>
      </c>
      <c r="M25" s="63" t="s">
        <v>122</v>
      </c>
      <c r="N25" s="66">
        <f>B58</f>
        <v>5</v>
      </c>
      <c r="O25" s="65" t="s">
        <v>203</v>
      </c>
      <c r="P25" s="38" t="s">
        <v>115</v>
      </c>
      <c r="Q25" s="220">
        <f>B13</f>
        <v>5.52928</v>
      </c>
      <c r="R25" s="38" t="s">
        <v>198</v>
      </c>
      <c r="S25" s="38" t="s">
        <v>115</v>
      </c>
      <c r="T25" s="220">
        <f>B13</f>
        <v>5.52928</v>
      </c>
      <c r="U25" s="38" t="s">
        <v>198</v>
      </c>
      <c r="V25" s="63" t="s">
        <v>132</v>
      </c>
      <c r="W25" s="66">
        <f>B67</f>
        <v>5</v>
      </c>
      <c r="X25" s="65" t="s">
        <v>203</v>
      </c>
      <c r="Y25" s="38" t="s">
        <v>115</v>
      </c>
      <c r="Z25" s="220">
        <f>B13</f>
        <v>5.52928</v>
      </c>
      <c r="AA25" s="38" t="s">
        <v>198</v>
      </c>
      <c r="AB25" s="38" t="s">
        <v>115</v>
      </c>
      <c r="AC25" s="220">
        <f>B13</f>
        <v>5.52928</v>
      </c>
      <c r="AD25" s="38" t="s">
        <v>198</v>
      </c>
      <c r="AE25" s="63" t="s">
        <v>14</v>
      </c>
      <c r="AF25" s="66">
        <f>B76</f>
        <v>5</v>
      </c>
      <c r="AG25" s="65" t="s">
        <v>203</v>
      </c>
      <c r="AH25" s="38" t="s">
        <v>115</v>
      </c>
      <c r="AI25" s="220">
        <f>B13</f>
        <v>5.52928</v>
      </c>
      <c r="AJ25" s="38" t="s">
        <v>198</v>
      </c>
      <c r="AK25" s="38" t="s">
        <v>115</v>
      </c>
      <c r="AL25" s="220">
        <f>B13</f>
        <v>5.52928</v>
      </c>
      <c r="AM25" s="38" t="s">
        <v>198</v>
      </c>
    </row>
    <row r="26" spans="1:39" s="1" customFormat="1" ht="14.25" x14ac:dyDescent="0.2">
      <c r="A26" s="28" t="s">
        <v>27</v>
      </c>
      <c r="B26" s="55">
        <v>2</v>
      </c>
      <c r="C26" s="37"/>
      <c r="D26" s="67" t="s">
        <v>159</v>
      </c>
      <c r="E26" s="66">
        <f>B40</f>
        <v>10</v>
      </c>
      <c r="F26" s="65" t="s">
        <v>203</v>
      </c>
      <c r="G26" s="38" t="s">
        <v>116</v>
      </c>
      <c r="H26" s="220">
        <f>B14</f>
        <v>8.8356399999999997</v>
      </c>
      <c r="I26" s="38" t="s">
        <v>198</v>
      </c>
      <c r="J26" s="38" t="s">
        <v>116</v>
      </c>
      <c r="K26" s="220">
        <f>B14</f>
        <v>8.8356399999999997</v>
      </c>
      <c r="L26" s="38" t="s">
        <v>198</v>
      </c>
      <c r="M26" s="63" t="s">
        <v>136</v>
      </c>
      <c r="N26" s="66">
        <f>B62</f>
        <v>55</v>
      </c>
      <c r="O26" s="65" t="s">
        <v>24</v>
      </c>
      <c r="P26" s="38" t="s">
        <v>116</v>
      </c>
      <c r="Q26" s="220">
        <f>B14</f>
        <v>8.8356399999999997</v>
      </c>
      <c r="R26" s="38" t="s">
        <v>198</v>
      </c>
      <c r="S26" s="38" t="s">
        <v>116</v>
      </c>
      <c r="T26" s="220">
        <f>B14</f>
        <v>8.8356399999999997</v>
      </c>
      <c r="U26" s="38" t="s">
        <v>198</v>
      </c>
      <c r="V26" s="63" t="s">
        <v>130</v>
      </c>
      <c r="W26" s="66">
        <f>B71</f>
        <v>55</v>
      </c>
      <c r="X26" s="65" t="s">
        <v>24</v>
      </c>
      <c r="Y26" s="38" t="s">
        <v>116</v>
      </c>
      <c r="Z26" s="220">
        <f>B14</f>
        <v>8.8356399999999997</v>
      </c>
      <c r="AA26" s="38" t="s">
        <v>198</v>
      </c>
      <c r="AB26" s="38" t="s">
        <v>116</v>
      </c>
      <c r="AC26" s="220">
        <f>B14</f>
        <v>8.8356399999999997</v>
      </c>
      <c r="AD26" s="38" t="s">
        <v>198</v>
      </c>
      <c r="AE26" s="63" t="s">
        <v>17</v>
      </c>
      <c r="AF26" s="66">
        <f>B80</f>
        <v>55</v>
      </c>
      <c r="AG26" s="65" t="s">
        <v>24</v>
      </c>
      <c r="AH26" s="38" t="s">
        <v>116</v>
      </c>
      <c r="AI26" s="220">
        <f>B14</f>
        <v>8.8356399999999997</v>
      </c>
      <c r="AJ26" s="38" t="s">
        <v>198</v>
      </c>
      <c r="AK26" s="38" t="s">
        <v>116</v>
      </c>
      <c r="AL26" s="220">
        <f>B14</f>
        <v>8.8356399999999997</v>
      </c>
      <c r="AM26" s="38" t="s">
        <v>198</v>
      </c>
    </row>
    <row r="27" spans="1:39" s="1" customFormat="1" ht="14.25" x14ac:dyDescent="0.2">
      <c r="A27" s="28" t="s">
        <v>162</v>
      </c>
      <c r="B27" s="55">
        <v>0.75</v>
      </c>
      <c r="C27" s="37"/>
      <c r="D27" s="67" t="s">
        <v>158</v>
      </c>
      <c r="E27" s="66">
        <f>B39</f>
        <v>10</v>
      </c>
      <c r="F27" s="65" t="s">
        <v>203</v>
      </c>
      <c r="G27" s="40" t="s">
        <v>155</v>
      </c>
      <c r="H27" s="222">
        <f>B35</f>
        <v>55</v>
      </c>
      <c r="I27" s="29" t="s">
        <v>202</v>
      </c>
      <c r="J27" s="40" t="s">
        <v>155</v>
      </c>
      <c r="K27" s="221">
        <f>B35</f>
        <v>55</v>
      </c>
      <c r="L27" t="s">
        <v>202</v>
      </c>
      <c r="M27" s="68" t="s">
        <v>137</v>
      </c>
      <c r="N27" s="69">
        <f>B64</f>
        <v>5</v>
      </c>
      <c r="O27" s="70" t="s">
        <v>204</v>
      </c>
      <c r="P27" s="29" t="s">
        <v>87</v>
      </c>
      <c r="Q27" s="222">
        <f>B57</f>
        <v>55</v>
      </c>
      <c r="R27" s="29" t="s">
        <v>202</v>
      </c>
      <c r="S27" s="29" t="s">
        <v>87</v>
      </c>
      <c r="T27" s="221">
        <f>B57</f>
        <v>55</v>
      </c>
      <c r="U27" t="s">
        <v>202</v>
      </c>
      <c r="V27" s="68" t="s">
        <v>131</v>
      </c>
      <c r="W27" s="69">
        <f>B73</f>
        <v>5</v>
      </c>
      <c r="X27" s="70" t="s">
        <v>204</v>
      </c>
      <c r="Y27" s="29" t="s">
        <v>87</v>
      </c>
      <c r="Z27" s="32">
        <f>B66</f>
        <v>55</v>
      </c>
      <c r="AA27" t="s">
        <v>202</v>
      </c>
      <c r="AB27" s="29" t="s">
        <v>87</v>
      </c>
      <c r="AC27" s="222">
        <f>B66</f>
        <v>55</v>
      </c>
      <c r="AD27" s="29" t="s">
        <v>202</v>
      </c>
      <c r="AE27" s="68" t="s">
        <v>18</v>
      </c>
      <c r="AF27" s="69">
        <f>B82</f>
        <v>5</v>
      </c>
      <c r="AG27" s="70" t="s">
        <v>204</v>
      </c>
      <c r="AH27" s="29" t="s">
        <v>87</v>
      </c>
      <c r="AI27" s="222">
        <f>B75</f>
        <v>55</v>
      </c>
      <c r="AJ27" s="29" t="s">
        <v>202</v>
      </c>
      <c r="AK27" s="29" t="s">
        <v>87</v>
      </c>
      <c r="AL27" s="221">
        <f>B75</f>
        <v>55</v>
      </c>
      <c r="AM27" t="s">
        <v>202</v>
      </c>
    </row>
    <row r="28" spans="1:39" s="1" customFormat="1" ht="14.25" x14ac:dyDescent="0.2">
      <c r="A28" s="28" t="s">
        <v>119</v>
      </c>
      <c r="B28" s="55">
        <v>0.75</v>
      </c>
      <c r="C28" s="40"/>
      <c r="D28" s="67" t="s">
        <v>157</v>
      </c>
      <c r="E28" s="66">
        <f>B37</f>
        <v>55</v>
      </c>
      <c r="F28" s="65" t="s">
        <v>202</v>
      </c>
      <c r="G28" s="40" t="s">
        <v>125</v>
      </c>
      <c r="H28" s="221">
        <f>B43</f>
        <v>1</v>
      </c>
      <c r="I28" t="s">
        <v>205</v>
      </c>
      <c r="J28" s="40" t="s">
        <v>125</v>
      </c>
      <c r="K28" s="221">
        <f>B43</f>
        <v>1</v>
      </c>
      <c r="L28" t="s">
        <v>205</v>
      </c>
      <c r="M28" s="73" t="s">
        <v>133</v>
      </c>
      <c r="N28" s="66">
        <f>B57</f>
        <v>55</v>
      </c>
      <c r="O28" s="74" t="s">
        <v>202</v>
      </c>
      <c r="P28" t="s">
        <v>28</v>
      </c>
      <c r="Q28" s="221">
        <f>B61</f>
        <v>1</v>
      </c>
      <c r="R28" t="s">
        <v>205</v>
      </c>
      <c r="S28" s="29" t="s">
        <v>28</v>
      </c>
      <c r="T28" s="221">
        <f>B61</f>
        <v>1</v>
      </c>
      <c r="U28" t="s">
        <v>205</v>
      </c>
      <c r="V28" s="74" t="s">
        <v>128</v>
      </c>
      <c r="W28" s="66">
        <f>B66</f>
        <v>55</v>
      </c>
      <c r="X28" s="74" t="s">
        <v>202</v>
      </c>
      <c r="Y28" t="s">
        <v>28</v>
      </c>
      <c r="Z28" s="221">
        <f>B70</f>
        <v>1</v>
      </c>
      <c r="AA28" t="s">
        <v>205</v>
      </c>
      <c r="AB28" t="s">
        <v>28</v>
      </c>
      <c r="AC28" s="221">
        <f>B70</f>
        <v>1</v>
      </c>
      <c r="AD28" t="s">
        <v>205</v>
      </c>
      <c r="AE28" s="74" t="s">
        <v>13</v>
      </c>
      <c r="AF28" s="66">
        <f>B75</f>
        <v>55</v>
      </c>
      <c r="AG28" s="74" t="s">
        <v>202</v>
      </c>
      <c r="AH28" t="s">
        <v>28</v>
      </c>
      <c r="AI28" s="221">
        <f>B79</f>
        <v>1</v>
      </c>
      <c r="AJ28" t="s">
        <v>205</v>
      </c>
      <c r="AK28" t="s">
        <v>28</v>
      </c>
      <c r="AL28" s="221">
        <f>B79</f>
        <v>1</v>
      </c>
      <c r="AM28" t="s">
        <v>205</v>
      </c>
    </row>
    <row r="29" spans="1:39" s="1" customFormat="1" ht="14.25" x14ac:dyDescent="0.2">
      <c r="A29" s="28" t="s">
        <v>29</v>
      </c>
      <c r="B29" s="55">
        <v>0.4</v>
      </c>
      <c r="C29" s="28"/>
      <c r="D29" s="67" t="s">
        <v>156</v>
      </c>
      <c r="E29" s="66">
        <f>B36</f>
        <v>55</v>
      </c>
      <c r="F29" s="65" t="s">
        <v>202</v>
      </c>
      <c r="G29" t="s">
        <v>88</v>
      </c>
      <c r="H29" s="221">
        <f>B31</f>
        <v>0.75</v>
      </c>
      <c r="I29"/>
      <c r="J29" t="s">
        <v>88</v>
      </c>
      <c r="K29" s="221">
        <f>B31</f>
        <v>0.75</v>
      </c>
      <c r="L29"/>
      <c r="M29" s="74" t="s">
        <v>134</v>
      </c>
      <c r="N29" s="66">
        <f>B63</f>
        <v>5</v>
      </c>
      <c r="O29" s="74" t="s">
        <v>26</v>
      </c>
      <c r="P29"/>
      <c r="Q29" s="221"/>
      <c r="R29"/>
      <c r="S29"/>
      <c r="T29" s="221"/>
      <c r="U29"/>
      <c r="V29" s="74" t="s">
        <v>127</v>
      </c>
      <c r="W29" s="66">
        <f>B72</f>
        <v>5</v>
      </c>
      <c r="X29" s="74" t="s">
        <v>26</v>
      </c>
      <c r="Y29"/>
      <c r="Z29" s="221"/>
      <c r="AA29"/>
      <c r="AB29"/>
      <c r="AC29" s="221"/>
      <c r="AD29"/>
      <c r="AE29" s="74" t="s">
        <v>12</v>
      </c>
      <c r="AF29" s="66">
        <f>B81</f>
        <v>5</v>
      </c>
      <c r="AG29" s="74" t="s">
        <v>26</v>
      </c>
      <c r="AH29"/>
      <c r="AI29" s="221"/>
      <c r="AJ29"/>
      <c r="AK29"/>
      <c r="AL29" s="221"/>
      <c r="AM29"/>
    </row>
    <row r="30" spans="1:39" s="1" customFormat="1" ht="14.25" x14ac:dyDescent="0.2">
      <c r="A30" s="54" t="s">
        <v>99</v>
      </c>
      <c r="B30" s="55">
        <v>5</v>
      </c>
      <c r="C30" s="28"/>
      <c r="D30" s="63" t="s">
        <v>163</v>
      </c>
      <c r="E30" s="66">
        <f>B54</f>
        <v>0.77</v>
      </c>
      <c r="F30" s="65"/>
      <c r="G30" t="s">
        <v>99</v>
      </c>
      <c r="H30" s="221">
        <f>B30</f>
        <v>5</v>
      </c>
      <c r="I30"/>
      <c r="J30" t="s">
        <v>99</v>
      </c>
      <c r="K30" s="221">
        <f>B30</f>
        <v>5</v>
      </c>
      <c r="L30"/>
      <c r="M30" s="28" t="s">
        <v>135</v>
      </c>
      <c r="N30" s="32">
        <f>B61</f>
        <v>1</v>
      </c>
      <c r="O30" s="28" t="s">
        <v>205</v>
      </c>
      <c r="P30" t="s">
        <v>99</v>
      </c>
      <c r="Q30" s="221">
        <f>B30</f>
        <v>5</v>
      </c>
      <c r="R30"/>
      <c r="S30" t="s">
        <v>99</v>
      </c>
      <c r="T30" s="221">
        <f>B30</f>
        <v>5</v>
      </c>
      <c r="U30"/>
      <c r="V30" s="28" t="s">
        <v>129</v>
      </c>
      <c r="W30" s="32">
        <f>B70</f>
        <v>1</v>
      </c>
      <c r="X30" s="28" t="s">
        <v>205</v>
      </c>
      <c r="Y30" t="s">
        <v>99</v>
      </c>
      <c r="Z30" s="221">
        <f>B30</f>
        <v>5</v>
      </c>
      <c r="AA30"/>
      <c r="AB30" t="s">
        <v>99</v>
      </c>
      <c r="AC30" s="221">
        <f>B30</f>
        <v>5</v>
      </c>
      <c r="AD30"/>
      <c r="AE30" s="28" t="s">
        <v>15</v>
      </c>
      <c r="AF30" s="32">
        <f>B79</f>
        <v>1</v>
      </c>
      <c r="AG30" s="28" t="s">
        <v>205</v>
      </c>
      <c r="AH30" s="28" t="s">
        <v>16</v>
      </c>
      <c r="AI30" s="221">
        <f>B31</f>
        <v>0.75</v>
      </c>
      <c r="AJ30"/>
      <c r="AK30" s="28" t="s">
        <v>16</v>
      </c>
      <c r="AL30" s="221">
        <f>B31</f>
        <v>0.75</v>
      </c>
      <c r="AM30"/>
    </row>
    <row r="31" spans="1:39" s="1" customFormat="1" ht="14.25" x14ac:dyDescent="0.2">
      <c r="A31" s="54" t="s">
        <v>16</v>
      </c>
      <c r="B31" s="55">
        <v>0.75</v>
      </c>
      <c r="C31" s="28"/>
      <c r="D31" s="63" t="s">
        <v>164</v>
      </c>
      <c r="E31" s="66">
        <f>B55</f>
        <v>0.23</v>
      </c>
      <c r="F31" s="65"/>
      <c r="G31"/>
      <c r="H31" s="221"/>
      <c r="I31"/>
      <c r="J31"/>
      <c r="K31" s="221"/>
      <c r="L31"/>
      <c r="M31" s="28" t="s">
        <v>3</v>
      </c>
      <c r="N31" s="32">
        <f>B25</f>
        <v>2</v>
      </c>
      <c r="O31" s="28"/>
      <c r="P31"/>
      <c r="Q31" s="221"/>
      <c r="R31"/>
      <c r="S31"/>
      <c r="T31" s="221"/>
      <c r="U31"/>
      <c r="V31" s="28" t="s">
        <v>3</v>
      </c>
      <c r="W31" s="32">
        <f>B25</f>
        <v>2</v>
      </c>
      <c r="X31" s="28"/>
      <c r="Y31"/>
      <c r="Z31" s="221"/>
      <c r="AA31"/>
      <c r="AB31"/>
      <c r="AC31" s="221"/>
      <c r="AD31"/>
      <c r="AE31" s="28" t="s">
        <v>3</v>
      </c>
      <c r="AF31" s="32">
        <f>B25</f>
        <v>2</v>
      </c>
      <c r="AG31" s="28"/>
      <c r="AH31"/>
      <c r="AI31" s="221"/>
      <c r="AJ31"/>
      <c r="AK31"/>
      <c r="AL31" s="221"/>
      <c r="AM31"/>
    </row>
    <row r="32" spans="1:39" s="1" customFormat="1" ht="14.25" x14ac:dyDescent="0.2">
      <c r="A32" s="54" t="s">
        <v>31</v>
      </c>
      <c r="B32" s="52">
        <v>666666666</v>
      </c>
      <c r="C32" s="54" t="s">
        <v>32</v>
      </c>
      <c r="D32" s="63" t="s">
        <v>147</v>
      </c>
      <c r="E32" s="66">
        <f>B52</f>
        <v>55</v>
      </c>
      <c r="F32" s="65" t="s">
        <v>24</v>
      </c>
      <c r="G32" s="28" t="s">
        <v>160</v>
      </c>
      <c r="H32" s="221">
        <f>B50</f>
        <v>2</v>
      </c>
      <c r="I32" t="s">
        <v>203</v>
      </c>
      <c r="J32" s="28" t="s">
        <v>160</v>
      </c>
      <c r="K32" s="221">
        <f>B50</f>
        <v>2</v>
      </c>
      <c r="L32" t="s">
        <v>203</v>
      </c>
      <c r="M32" s="28" t="s">
        <v>27</v>
      </c>
      <c r="N32" s="32">
        <f>B26</f>
        <v>2</v>
      </c>
      <c r="O32" s="28"/>
      <c r="P32" t="s">
        <v>89</v>
      </c>
      <c r="Q32" s="221">
        <f>B58</f>
        <v>5</v>
      </c>
      <c r="R32" t="s">
        <v>203</v>
      </c>
      <c r="S32" t="s">
        <v>89</v>
      </c>
      <c r="T32" s="221">
        <f>B58</f>
        <v>5</v>
      </c>
      <c r="U32" t="s">
        <v>203</v>
      </c>
      <c r="V32" s="28" t="s">
        <v>27</v>
      </c>
      <c r="W32" s="32">
        <f>B26</f>
        <v>2</v>
      </c>
      <c r="X32" s="28"/>
      <c r="Y32" t="s">
        <v>89</v>
      </c>
      <c r="Z32" s="221">
        <f>B67</f>
        <v>5</v>
      </c>
      <c r="AA32" t="s">
        <v>203</v>
      </c>
      <c r="AB32" t="s">
        <v>89</v>
      </c>
      <c r="AC32" s="221">
        <f>B67</f>
        <v>5</v>
      </c>
      <c r="AD32" t="s">
        <v>203</v>
      </c>
      <c r="AE32" s="28" t="s">
        <v>27</v>
      </c>
      <c r="AF32" s="32">
        <f>B26</f>
        <v>2</v>
      </c>
      <c r="AG32" s="28"/>
      <c r="AH32" t="s">
        <v>89</v>
      </c>
      <c r="AI32" s="221">
        <f>B76</f>
        <v>5</v>
      </c>
      <c r="AJ32" t="s">
        <v>203</v>
      </c>
      <c r="AK32" t="s">
        <v>89</v>
      </c>
      <c r="AL32" s="221">
        <f>B76</f>
        <v>5</v>
      </c>
      <c r="AM32" t="s">
        <v>203</v>
      </c>
    </row>
    <row r="33" spans="1:39" s="1" customFormat="1" ht="14.25" x14ac:dyDescent="0.2">
      <c r="A33" s="38" t="s">
        <v>65</v>
      </c>
      <c r="B33" s="42">
        <v>0.38</v>
      </c>
      <c r="C33"/>
      <c r="D33" s="63" t="s">
        <v>146</v>
      </c>
      <c r="E33" s="66">
        <f>B53</f>
        <v>25</v>
      </c>
      <c r="F33" s="65" t="s">
        <v>24</v>
      </c>
      <c r="G33" t="s">
        <v>3</v>
      </c>
      <c r="H33" s="221">
        <f>B25</f>
        <v>2</v>
      </c>
      <c r="I33"/>
      <c r="J33" t="s">
        <v>3</v>
      </c>
      <c r="K33" s="221">
        <f>B25</f>
        <v>2</v>
      </c>
      <c r="L33"/>
      <c r="M33" s="28" t="s">
        <v>29</v>
      </c>
      <c r="N33" s="32">
        <f>B29</f>
        <v>0.4</v>
      </c>
      <c r="O33" s="28"/>
      <c r="P33" t="s">
        <v>3</v>
      </c>
      <c r="Q33" s="221">
        <f>B25</f>
        <v>2</v>
      </c>
      <c r="R33"/>
      <c r="S33" t="s">
        <v>3</v>
      </c>
      <c r="T33" s="221">
        <f>B25</f>
        <v>2</v>
      </c>
      <c r="U33"/>
      <c r="V33" s="28" t="s">
        <v>29</v>
      </c>
      <c r="W33" s="32">
        <f>B29</f>
        <v>0.4</v>
      </c>
      <c r="X33" s="28"/>
      <c r="Y33" t="s">
        <v>3</v>
      </c>
      <c r="Z33" s="221">
        <f>B25</f>
        <v>2</v>
      </c>
      <c r="AA33"/>
      <c r="AB33" t="s">
        <v>3</v>
      </c>
      <c r="AC33" s="221">
        <f>B25</f>
        <v>2</v>
      </c>
      <c r="AD33"/>
      <c r="AE33" s="28" t="s">
        <v>29</v>
      </c>
      <c r="AF33" s="32">
        <f>B29</f>
        <v>0.4</v>
      </c>
      <c r="AG33" s="28"/>
      <c r="AH33" t="s">
        <v>3</v>
      </c>
      <c r="AI33" s="221">
        <f>B25</f>
        <v>2</v>
      </c>
      <c r="AJ33"/>
      <c r="AK33" t="s">
        <v>3</v>
      </c>
      <c r="AL33" s="221">
        <f>B25</f>
        <v>2</v>
      </c>
      <c r="AM33"/>
    </row>
    <row r="34" spans="1:39" s="1" customFormat="1" ht="15" x14ac:dyDescent="0.2">
      <c r="A34" s="426" t="s">
        <v>7</v>
      </c>
      <c r="B34" s="426"/>
      <c r="C34" s="427"/>
      <c r="D34" s="67" t="s">
        <v>151</v>
      </c>
      <c r="E34" s="66">
        <f>B48</f>
        <v>5</v>
      </c>
      <c r="F34" s="65" t="s">
        <v>204</v>
      </c>
      <c r="G34" s="29" t="s">
        <v>27</v>
      </c>
      <c r="H34" s="222">
        <f>B26</f>
        <v>2</v>
      </c>
      <c r="I34" s="29"/>
      <c r="J34" s="29" t="s">
        <v>27</v>
      </c>
      <c r="K34" s="222">
        <f>B26</f>
        <v>2</v>
      </c>
      <c r="L34" s="29"/>
      <c r="M34" s="54" t="s">
        <v>99</v>
      </c>
      <c r="N34" s="32">
        <f>B30</f>
        <v>5</v>
      </c>
      <c r="O34" s="28"/>
      <c r="P34" s="29" t="s">
        <v>27</v>
      </c>
      <c r="Q34" s="222">
        <f>B26</f>
        <v>2</v>
      </c>
      <c r="R34" s="29"/>
      <c r="S34" s="29" t="s">
        <v>27</v>
      </c>
      <c r="T34" s="222">
        <f>B26</f>
        <v>2</v>
      </c>
      <c r="U34" s="29"/>
      <c r="V34" s="54" t="s">
        <v>99</v>
      </c>
      <c r="W34" s="32">
        <f>B30</f>
        <v>5</v>
      </c>
      <c r="X34" s="28"/>
      <c r="Y34" s="29" t="s">
        <v>27</v>
      </c>
      <c r="Z34" s="222">
        <f>B26</f>
        <v>2</v>
      </c>
      <c r="AA34" s="29"/>
      <c r="AB34" s="29" t="s">
        <v>27</v>
      </c>
      <c r="AC34" s="222">
        <f>B26</f>
        <v>2</v>
      </c>
      <c r="AD34" s="29"/>
      <c r="AE34" s="54" t="s">
        <v>99</v>
      </c>
      <c r="AF34" s="32">
        <f>B30</f>
        <v>5</v>
      </c>
      <c r="AG34" s="28"/>
      <c r="AH34" s="29" t="s">
        <v>27</v>
      </c>
      <c r="AI34" s="222">
        <f>B26</f>
        <v>2</v>
      </c>
      <c r="AJ34" s="29"/>
      <c r="AK34" s="29" t="s">
        <v>27</v>
      </c>
      <c r="AL34" s="222">
        <f>B26</f>
        <v>2</v>
      </c>
      <c r="AM34" s="29"/>
    </row>
    <row r="35" spans="1:39" x14ac:dyDescent="0.2">
      <c r="A35" s="40" t="s">
        <v>155</v>
      </c>
      <c r="B35" s="166">
        <v>55</v>
      </c>
      <c r="C35" s="40" t="s">
        <v>202</v>
      </c>
      <c r="D35" s="67" t="s">
        <v>150</v>
      </c>
      <c r="E35" s="66">
        <f>B49</f>
        <v>15</v>
      </c>
      <c r="F35" s="65" t="s">
        <v>204</v>
      </c>
      <c r="G35" s="28" t="s">
        <v>139</v>
      </c>
      <c r="H35" s="221">
        <f>B24</f>
        <v>2</v>
      </c>
      <c r="J35" s="28" t="s">
        <v>139</v>
      </c>
      <c r="K35" s="221">
        <f>B24</f>
        <v>2</v>
      </c>
      <c r="M35" s="54" t="s">
        <v>16</v>
      </c>
      <c r="N35" s="32">
        <f>B31</f>
        <v>0.75</v>
      </c>
      <c r="P35" s="28" t="s">
        <v>139</v>
      </c>
      <c r="Q35" s="221">
        <f>B24</f>
        <v>2</v>
      </c>
      <c r="S35" s="28" t="s">
        <v>139</v>
      </c>
      <c r="T35" s="221">
        <f>B24</f>
        <v>2</v>
      </c>
      <c r="V35" s="54" t="s">
        <v>16</v>
      </c>
      <c r="W35" s="32">
        <f>B31</f>
        <v>0.75</v>
      </c>
      <c r="Y35" s="28" t="s">
        <v>139</v>
      </c>
      <c r="Z35" s="221">
        <f>B24</f>
        <v>2</v>
      </c>
      <c r="AB35" s="28" t="s">
        <v>139</v>
      </c>
      <c r="AC35" s="221">
        <f>B24</f>
        <v>2</v>
      </c>
      <c r="AE35" s="54" t="s">
        <v>16</v>
      </c>
      <c r="AF35" s="32">
        <f>B31</f>
        <v>0.75</v>
      </c>
      <c r="AH35" s="28" t="s">
        <v>139</v>
      </c>
      <c r="AI35" s="221">
        <f>B24</f>
        <v>2</v>
      </c>
      <c r="AK35" s="28" t="s">
        <v>139</v>
      </c>
      <c r="AL35" s="221">
        <f>B24</f>
        <v>2</v>
      </c>
    </row>
    <row r="36" spans="1:39" x14ac:dyDescent="0.2">
      <c r="A36" s="40" t="s">
        <v>156</v>
      </c>
      <c r="B36" s="166">
        <v>55</v>
      </c>
      <c r="C36" s="40" t="s">
        <v>202</v>
      </c>
      <c r="D36" s="63" t="s">
        <v>149</v>
      </c>
      <c r="E36" s="66">
        <f>B47</f>
        <v>10</v>
      </c>
      <c r="F36" s="65" t="s">
        <v>26</v>
      </c>
      <c r="G36" s="28" t="s">
        <v>161</v>
      </c>
      <c r="H36" s="221">
        <f>B51</f>
        <v>20</v>
      </c>
      <c r="J36" s="28" t="s">
        <v>161</v>
      </c>
      <c r="K36" s="221">
        <f>B51</f>
        <v>20</v>
      </c>
      <c r="M36" s="28" t="s">
        <v>30</v>
      </c>
      <c r="N36" s="43">
        <f>B18</f>
        <v>0.45572139303482601</v>
      </c>
      <c r="Q36" s="221"/>
      <c r="T36" s="221"/>
      <c r="V36" s="28" t="s">
        <v>30</v>
      </c>
      <c r="W36" s="43">
        <f>B18</f>
        <v>0.45572139303482601</v>
      </c>
      <c r="Z36" s="221"/>
      <c r="AC36" s="221"/>
      <c r="AE36" s="28" t="s">
        <v>30</v>
      </c>
      <c r="AF36" s="43">
        <f>B18</f>
        <v>0.45572139303482601</v>
      </c>
      <c r="AI36" s="221"/>
      <c r="AL36" s="221"/>
    </row>
    <row r="37" spans="1:39" x14ac:dyDescent="0.2">
      <c r="A37" s="40" t="s">
        <v>157</v>
      </c>
      <c r="B37" s="166">
        <v>55</v>
      </c>
      <c r="C37" s="40" t="s">
        <v>202</v>
      </c>
      <c r="D37" s="68" t="s">
        <v>148</v>
      </c>
      <c r="E37" s="69">
        <f>B46</f>
        <v>5</v>
      </c>
      <c r="F37" s="70" t="s">
        <v>26</v>
      </c>
      <c r="G37" t="s">
        <v>90</v>
      </c>
      <c r="H37" s="221">
        <f>B23</f>
        <v>1.1679999999999999</v>
      </c>
      <c r="J37" s="38" t="s">
        <v>141</v>
      </c>
      <c r="K37" s="220">
        <f>B17</f>
        <v>0.79192166462668301</v>
      </c>
      <c r="M37" s="54" t="s">
        <v>31</v>
      </c>
      <c r="N37" s="53">
        <f>B32</f>
        <v>666666666</v>
      </c>
      <c r="O37" s="54" t="s">
        <v>32</v>
      </c>
      <c r="P37" s="30" t="s">
        <v>5</v>
      </c>
      <c r="Q37" s="221">
        <f>B23</f>
        <v>1.1679999999999999</v>
      </c>
      <c r="R37" t="s">
        <v>91</v>
      </c>
      <c r="S37" s="38" t="s">
        <v>141</v>
      </c>
      <c r="T37" s="220">
        <f>B17</f>
        <v>0.79192166462668301</v>
      </c>
      <c r="V37" s="54" t="s">
        <v>31</v>
      </c>
      <c r="W37" s="53">
        <f>B32</f>
        <v>666666666</v>
      </c>
      <c r="X37" s="54" t="s">
        <v>32</v>
      </c>
      <c r="Y37" s="30" t="s">
        <v>5</v>
      </c>
      <c r="Z37" s="221">
        <f>B23</f>
        <v>1.1679999999999999</v>
      </c>
      <c r="AA37" t="s">
        <v>91</v>
      </c>
      <c r="AB37" s="38" t="s">
        <v>141</v>
      </c>
      <c r="AC37" s="220">
        <f>B17</f>
        <v>0.79192166462668301</v>
      </c>
      <c r="AE37" s="54" t="s">
        <v>31</v>
      </c>
      <c r="AF37" s="53">
        <f>B32</f>
        <v>666666666</v>
      </c>
      <c r="AG37" s="54" t="s">
        <v>32</v>
      </c>
      <c r="AH37" s="30" t="s">
        <v>5</v>
      </c>
      <c r="AI37" s="221">
        <f>B23</f>
        <v>1.1679999999999999</v>
      </c>
      <c r="AJ37" t="s">
        <v>91</v>
      </c>
      <c r="AK37" s="38" t="s">
        <v>141</v>
      </c>
      <c r="AL37" s="220">
        <f>B17</f>
        <v>0.79192166462668301</v>
      </c>
    </row>
    <row r="38" spans="1:39" x14ac:dyDescent="0.2">
      <c r="A38" s="40" t="s">
        <v>154</v>
      </c>
      <c r="B38" s="42">
        <v>10</v>
      </c>
      <c r="C38" s="40" t="s">
        <v>203</v>
      </c>
      <c r="D38" s="28" t="s">
        <v>125</v>
      </c>
      <c r="E38" s="32">
        <f>B43</f>
        <v>1</v>
      </c>
      <c r="F38" s="28" t="s">
        <v>205</v>
      </c>
      <c r="H38" s="221"/>
      <c r="J38" s="38" t="s">
        <v>142</v>
      </c>
      <c r="K38" s="220">
        <f>B18</f>
        <v>0.45572139303482601</v>
      </c>
      <c r="M38" s="44" t="s">
        <v>98</v>
      </c>
      <c r="N38" s="43">
        <f>PEF!W2</f>
        <v>17636131.202504292</v>
      </c>
      <c r="O38" s="28" t="s">
        <v>34</v>
      </c>
      <c r="Q38" s="221"/>
      <c r="S38" s="38" t="s">
        <v>142</v>
      </c>
      <c r="T38" s="220">
        <f>B18</f>
        <v>0.45572139303482601</v>
      </c>
      <c r="V38" s="44" t="s">
        <v>98</v>
      </c>
      <c r="W38" s="43">
        <f>PEF!W2</f>
        <v>17636131.202504292</v>
      </c>
      <c r="X38" s="28" t="s">
        <v>34</v>
      </c>
      <c r="AB38" s="38" t="s">
        <v>142</v>
      </c>
      <c r="AC38" s="220">
        <f>B18</f>
        <v>0.45572139303482601</v>
      </c>
      <c r="AE38" s="44" t="s">
        <v>98</v>
      </c>
      <c r="AF38" s="43">
        <f>PEF!O2</f>
        <v>1114670.500974617</v>
      </c>
      <c r="AG38" s="28" t="s">
        <v>34</v>
      </c>
      <c r="AI38" s="221"/>
      <c r="AK38" s="38" t="s">
        <v>142</v>
      </c>
      <c r="AL38" s="221">
        <f>B18</f>
        <v>0.45572139303482601</v>
      </c>
    </row>
    <row r="39" spans="1:39" x14ac:dyDescent="0.2">
      <c r="A39" s="40" t="s">
        <v>158</v>
      </c>
      <c r="B39" s="42">
        <v>10</v>
      </c>
      <c r="C39" s="40" t="s">
        <v>203</v>
      </c>
      <c r="D39" s="28" t="s">
        <v>3</v>
      </c>
      <c r="E39" s="32">
        <f>B25</f>
        <v>2</v>
      </c>
      <c r="H39" s="221"/>
      <c r="J39" s="38" t="s">
        <v>143</v>
      </c>
      <c r="K39" s="220">
        <f>B19</f>
        <v>0.62403100775193798</v>
      </c>
      <c r="M39" s="28" t="s">
        <v>33</v>
      </c>
      <c r="N39" s="43">
        <f>PEF!C2</f>
        <v>1365593623.3683286</v>
      </c>
      <c r="O39" s="28" t="s">
        <v>34</v>
      </c>
      <c r="Q39" s="221"/>
      <c r="S39" s="38" t="s">
        <v>143</v>
      </c>
      <c r="T39" s="220">
        <f>B19</f>
        <v>0.62403100775193798</v>
      </c>
      <c r="V39" s="28" t="s">
        <v>33</v>
      </c>
      <c r="W39" s="43">
        <f>PEF!C2</f>
        <v>1365593623.3683286</v>
      </c>
      <c r="X39" s="28" t="s">
        <v>34</v>
      </c>
      <c r="AB39" s="38" t="s">
        <v>143</v>
      </c>
      <c r="AC39" s="220">
        <f>B19</f>
        <v>0.62403100775193798</v>
      </c>
      <c r="AE39" s="28" t="s">
        <v>33</v>
      </c>
      <c r="AF39" s="43">
        <f>PEF!C2</f>
        <v>1365593623.3683286</v>
      </c>
      <c r="AG39" s="28" t="s">
        <v>34</v>
      </c>
      <c r="AI39" s="221"/>
      <c r="AK39" s="38" t="s">
        <v>143</v>
      </c>
      <c r="AL39" s="221">
        <f>B19</f>
        <v>0.62403100775193798</v>
      </c>
    </row>
    <row r="40" spans="1:39" x14ac:dyDescent="0.2">
      <c r="A40" s="40" t="s">
        <v>159</v>
      </c>
      <c r="B40" s="42">
        <v>10</v>
      </c>
      <c r="C40" s="40" t="s">
        <v>203</v>
      </c>
      <c r="D40" s="28" t="s">
        <v>27</v>
      </c>
      <c r="E40" s="32">
        <f>B26</f>
        <v>2</v>
      </c>
      <c r="H40" s="221"/>
      <c r="J40" s="38" t="s">
        <v>144</v>
      </c>
      <c r="K40" s="220">
        <f>B20</f>
        <v>0.73657289002557502</v>
      </c>
      <c r="M40" s="28" t="s">
        <v>102</v>
      </c>
      <c r="N40" s="32">
        <f>B22</f>
        <v>226.025409</v>
      </c>
      <c r="O40" s="28" t="s">
        <v>103</v>
      </c>
      <c r="Q40" s="221"/>
      <c r="S40" s="38" t="s">
        <v>144</v>
      </c>
      <c r="T40" s="220">
        <f>B20</f>
        <v>0.73657289002557502</v>
      </c>
      <c r="V40" s="28" t="s">
        <v>102</v>
      </c>
      <c r="W40" s="32">
        <f>B22</f>
        <v>226.025409</v>
      </c>
      <c r="X40" s="28" t="s">
        <v>103</v>
      </c>
      <c r="AB40" s="38" t="s">
        <v>144</v>
      </c>
      <c r="AC40" s="220">
        <f>B20</f>
        <v>0.73657289002557502</v>
      </c>
      <c r="AE40" s="28" t="s">
        <v>102</v>
      </c>
      <c r="AF40" s="32">
        <f>B22</f>
        <v>226.025409</v>
      </c>
      <c r="AG40" s="28" t="s">
        <v>103</v>
      </c>
      <c r="AI40" s="221"/>
      <c r="AK40" s="38" t="s">
        <v>144</v>
      </c>
      <c r="AL40" s="221">
        <f>B20</f>
        <v>0.73657289002557502</v>
      </c>
    </row>
    <row r="41" spans="1:39" x14ac:dyDescent="0.2">
      <c r="A41" s="40" t="s">
        <v>152</v>
      </c>
      <c r="B41" s="42">
        <v>10</v>
      </c>
      <c r="C41" s="40" t="s">
        <v>203</v>
      </c>
      <c r="D41" s="28" t="s">
        <v>160</v>
      </c>
      <c r="E41" s="32">
        <f>B50</f>
        <v>2</v>
      </c>
      <c r="F41" s="28" t="s">
        <v>203</v>
      </c>
      <c r="H41" s="221"/>
      <c r="J41" s="38" t="s">
        <v>145</v>
      </c>
      <c r="K41" s="220">
        <f>B21</f>
        <v>0.75113122171945701</v>
      </c>
      <c r="M41" s="28" t="s">
        <v>100</v>
      </c>
      <c r="N41" s="207">
        <v>27.027027027027</v>
      </c>
      <c r="O41" s="28" t="s">
        <v>101</v>
      </c>
      <c r="Q41" s="221"/>
      <c r="S41" s="38" t="s">
        <v>145</v>
      </c>
      <c r="T41" s="220">
        <f>B21</f>
        <v>0.75113122171945701</v>
      </c>
      <c r="V41" s="28" t="s">
        <v>100</v>
      </c>
      <c r="W41" s="207">
        <v>27.027027027027</v>
      </c>
      <c r="X41" s="28" t="s">
        <v>101</v>
      </c>
      <c r="AB41" s="38" t="s">
        <v>145</v>
      </c>
      <c r="AC41" s="220">
        <f>B21</f>
        <v>0.75113122171945701</v>
      </c>
      <c r="AE41" s="28" t="s">
        <v>100</v>
      </c>
      <c r="AF41" s="207">
        <v>27.027027027027</v>
      </c>
      <c r="AG41" s="28" t="s">
        <v>101</v>
      </c>
      <c r="AI41" s="221"/>
      <c r="AK41" s="38" t="s">
        <v>145</v>
      </c>
      <c r="AL41" s="221">
        <f>B21</f>
        <v>0.75113122171945701</v>
      </c>
    </row>
    <row r="42" spans="1:39" x14ac:dyDescent="0.2">
      <c r="A42" s="40" t="s">
        <v>153</v>
      </c>
      <c r="B42" s="42">
        <v>10</v>
      </c>
      <c r="C42" s="40" t="s">
        <v>203</v>
      </c>
      <c r="D42" s="28" t="s">
        <v>161</v>
      </c>
      <c r="E42" s="32">
        <f>B51</f>
        <v>20</v>
      </c>
      <c r="F42" s="28" t="s">
        <v>203</v>
      </c>
      <c r="G42" s="28" t="s">
        <v>100</v>
      </c>
      <c r="H42" s="207">
        <v>27.027027027027</v>
      </c>
      <c r="I42" s="28" t="s">
        <v>101</v>
      </c>
      <c r="J42" s="28" t="s">
        <v>100</v>
      </c>
      <c r="K42" s="207">
        <v>27.027027027027</v>
      </c>
      <c r="L42" s="28" t="s">
        <v>101</v>
      </c>
      <c r="M42" s="28" t="s">
        <v>104</v>
      </c>
      <c r="N42" s="32">
        <f>2.8*(10^(-15))</f>
        <v>2.8000000000000001E-15</v>
      </c>
      <c r="P42" s="28" t="s">
        <v>100</v>
      </c>
      <c r="Q42" s="207">
        <v>27.027027027027</v>
      </c>
      <c r="R42" s="28" t="s">
        <v>101</v>
      </c>
      <c r="S42" s="28" t="s">
        <v>100</v>
      </c>
      <c r="T42" s="207">
        <v>27.027027027027</v>
      </c>
      <c r="U42" s="28" t="s">
        <v>101</v>
      </c>
      <c r="V42" s="28" t="s">
        <v>104</v>
      </c>
      <c r="W42" s="32">
        <f>2.8*(10^(-15))</f>
        <v>2.8000000000000001E-15</v>
      </c>
      <c r="Y42" s="28" t="s">
        <v>100</v>
      </c>
      <c r="Z42" s="207">
        <v>27.027027027027</v>
      </c>
      <c r="AA42" s="28" t="s">
        <v>101</v>
      </c>
      <c r="AB42" s="28" t="s">
        <v>100</v>
      </c>
      <c r="AC42" s="207">
        <v>27.027027027027</v>
      </c>
      <c r="AD42" s="28" t="s">
        <v>101</v>
      </c>
      <c r="AE42" s="28" t="s">
        <v>104</v>
      </c>
      <c r="AF42" s="32">
        <f>2.8*(10^(-15))</f>
        <v>2.8000000000000001E-15</v>
      </c>
      <c r="AH42" s="28" t="s">
        <v>100</v>
      </c>
      <c r="AI42" s="207">
        <v>27.027027027027</v>
      </c>
      <c r="AJ42" s="28" t="s">
        <v>101</v>
      </c>
      <c r="AK42" s="28" t="s">
        <v>100</v>
      </c>
      <c r="AL42" s="207">
        <v>27.027027027027</v>
      </c>
      <c r="AM42" s="28" t="s">
        <v>101</v>
      </c>
    </row>
    <row r="43" spans="1:39" x14ac:dyDescent="0.2">
      <c r="A43" s="40" t="s">
        <v>125</v>
      </c>
      <c r="B43" s="42">
        <v>1</v>
      </c>
      <c r="C43" s="40" t="s">
        <v>10</v>
      </c>
      <c r="D43" s="28" t="s">
        <v>29</v>
      </c>
      <c r="E43" s="32">
        <f>B29</f>
        <v>0.4</v>
      </c>
      <c r="G43" s="28" t="s">
        <v>102</v>
      </c>
      <c r="H43" s="32">
        <f>B22</f>
        <v>226.025409</v>
      </c>
      <c r="I43" s="28" t="s">
        <v>103</v>
      </c>
      <c r="J43" s="28" t="s">
        <v>102</v>
      </c>
      <c r="K43" s="32">
        <f>B22</f>
        <v>226.025409</v>
      </c>
      <c r="L43" s="28" t="s">
        <v>103</v>
      </c>
      <c r="P43" s="28" t="s">
        <v>102</v>
      </c>
      <c r="Q43" s="32">
        <f>B22</f>
        <v>226.025409</v>
      </c>
      <c r="R43" s="28" t="s">
        <v>103</v>
      </c>
      <c r="S43" s="28" t="s">
        <v>102</v>
      </c>
      <c r="T43" s="32">
        <f>B22</f>
        <v>226.025409</v>
      </c>
      <c r="U43" s="28" t="s">
        <v>103</v>
      </c>
      <c r="Y43" s="28" t="s">
        <v>102</v>
      </c>
      <c r="Z43" s="32">
        <f>B22</f>
        <v>226.025409</v>
      </c>
      <c r="AA43" s="28" t="s">
        <v>103</v>
      </c>
      <c r="AB43" s="28" t="s">
        <v>102</v>
      </c>
      <c r="AC43" s="32">
        <f>B22</f>
        <v>226.025409</v>
      </c>
      <c r="AD43" s="28" t="s">
        <v>103</v>
      </c>
      <c r="AH43" s="28" t="s">
        <v>102</v>
      </c>
      <c r="AI43" s="32">
        <f>B22</f>
        <v>226.025409</v>
      </c>
      <c r="AJ43" s="28" t="s">
        <v>103</v>
      </c>
      <c r="AK43" s="28" t="s">
        <v>102</v>
      </c>
      <c r="AL43" s="32">
        <f>B22</f>
        <v>226.025409</v>
      </c>
      <c r="AM43" s="28" t="s">
        <v>103</v>
      </c>
    </row>
    <row r="44" spans="1:39" x14ac:dyDescent="0.2">
      <c r="A44" s="40" t="s">
        <v>146</v>
      </c>
      <c r="B44" s="42">
        <v>25</v>
      </c>
      <c r="C44" s="40" t="s">
        <v>120</v>
      </c>
      <c r="D44" s="54" t="s">
        <v>99</v>
      </c>
      <c r="E44" s="32">
        <f>B30</f>
        <v>5</v>
      </c>
      <c r="G44" s="28" t="s">
        <v>104</v>
      </c>
      <c r="H44" s="32">
        <f>2.8*(10^(-12))</f>
        <v>2.7999999999999998E-12</v>
      </c>
      <c r="I44" s="28"/>
      <c r="J44" s="28" t="s">
        <v>104</v>
      </c>
      <c r="K44" s="32">
        <f>2.8*(10^(-12))</f>
        <v>2.7999999999999998E-12</v>
      </c>
      <c r="L44" s="28"/>
      <c r="P44" s="28" t="s">
        <v>104</v>
      </c>
      <c r="Q44" s="32">
        <f>2.8*(10^(-12))</f>
        <v>2.7999999999999998E-12</v>
      </c>
      <c r="R44" s="28"/>
      <c r="S44" s="28" t="s">
        <v>104</v>
      </c>
      <c r="T44" s="32">
        <f>2.8*(10^(-12))</f>
        <v>2.7999999999999998E-12</v>
      </c>
      <c r="U44" s="28"/>
      <c r="Y44" s="28" t="s">
        <v>104</v>
      </c>
      <c r="Z44" s="32">
        <f>2.8*(10^(-12))</f>
        <v>2.7999999999999998E-12</v>
      </c>
      <c r="AA44" s="28"/>
      <c r="AB44" s="28" t="s">
        <v>104</v>
      </c>
      <c r="AC44" s="32">
        <f>2.8*(10^(-12))</f>
        <v>2.7999999999999998E-12</v>
      </c>
      <c r="AD44" s="28"/>
      <c r="AH44" s="28" t="s">
        <v>104</v>
      </c>
      <c r="AI44" s="32">
        <f>2.8*(10^(-12))</f>
        <v>2.7999999999999998E-12</v>
      </c>
      <c r="AJ44" s="28"/>
      <c r="AK44" s="28" t="s">
        <v>104</v>
      </c>
      <c r="AL44" s="32">
        <f>2.8*(10^(-12))</f>
        <v>2.7999999999999998E-12</v>
      </c>
      <c r="AM44" s="28"/>
    </row>
    <row r="45" spans="1:39" x14ac:dyDescent="0.2">
      <c r="A45" s="40" t="s">
        <v>147</v>
      </c>
      <c r="B45" s="42">
        <v>75</v>
      </c>
      <c r="C45" s="40" t="s">
        <v>120</v>
      </c>
      <c r="D45" s="54" t="s">
        <v>16</v>
      </c>
      <c r="E45" s="32">
        <f>B31</f>
        <v>0.75</v>
      </c>
      <c r="G45" s="28" t="s">
        <v>104</v>
      </c>
      <c r="H45" s="32">
        <f>2.8*(10^(-15))</f>
        <v>2.8000000000000001E-15</v>
      </c>
      <c r="J45" s="28" t="s">
        <v>104</v>
      </c>
      <c r="K45" s="32">
        <f>2.8*(10^(-15))</f>
        <v>2.8000000000000001E-15</v>
      </c>
      <c r="P45" s="28" t="s">
        <v>104</v>
      </c>
      <c r="Q45" s="32">
        <f>2.8*(10^(-15))</f>
        <v>2.8000000000000001E-15</v>
      </c>
      <c r="S45" s="28" t="s">
        <v>104</v>
      </c>
      <c r="T45" s="32">
        <f>2.8*(10^(-15))</f>
        <v>2.8000000000000001E-15</v>
      </c>
      <c r="Y45" s="28" t="s">
        <v>104</v>
      </c>
      <c r="Z45" s="32">
        <f>2.8*(10^(-15))</f>
        <v>2.8000000000000001E-15</v>
      </c>
      <c r="AB45" s="28" t="s">
        <v>104</v>
      </c>
      <c r="AC45" s="32">
        <f>2.8*(10^(-15))</f>
        <v>2.8000000000000001E-15</v>
      </c>
      <c r="AH45" s="28" t="s">
        <v>104</v>
      </c>
      <c r="AI45" s="32">
        <f>2.8*(10^(-15))</f>
        <v>2.8000000000000001E-15</v>
      </c>
      <c r="AK45" s="28" t="s">
        <v>104</v>
      </c>
      <c r="AL45" s="32">
        <f>2.8*(10^(-15))</f>
        <v>2.8000000000000001E-15</v>
      </c>
    </row>
    <row r="46" spans="1:39" x14ac:dyDescent="0.2">
      <c r="A46" s="40" t="s">
        <v>148</v>
      </c>
      <c r="B46" s="42">
        <v>5</v>
      </c>
      <c r="C46" s="40" t="s">
        <v>121</v>
      </c>
      <c r="D46" s="28" t="s">
        <v>30</v>
      </c>
      <c r="E46" s="43">
        <f>B18</f>
        <v>0.45572139303482601</v>
      </c>
      <c r="Z46" s="221"/>
      <c r="AC46" s="221"/>
    </row>
    <row r="47" spans="1:39" x14ac:dyDescent="0.2">
      <c r="A47" s="40" t="s">
        <v>149</v>
      </c>
      <c r="B47" s="42">
        <v>10</v>
      </c>
      <c r="C47" s="40" t="s">
        <v>121</v>
      </c>
      <c r="D47" s="54" t="s">
        <v>31</v>
      </c>
      <c r="E47" s="53">
        <f>B32</f>
        <v>666666666</v>
      </c>
      <c r="F47" s="54" t="s">
        <v>32</v>
      </c>
      <c r="I47" s="258" t="s">
        <v>197</v>
      </c>
    </row>
    <row r="48" spans="1:39" x14ac:dyDescent="0.2">
      <c r="A48" s="40" t="s">
        <v>151</v>
      </c>
      <c r="B48" s="55">
        <v>5</v>
      </c>
      <c r="C48" s="28" t="s">
        <v>204</v>
      </c>
      <c r="D48" s="44" t="s">
        <v>98</v>
      </c>
      <c r="E48" s="43">
        <f>PEF!Q2</f>
        <v>37012232.751917742</v>
      </c>
      <c r="F48" s="28" t="s">
        <v>34</v>
      </c>
      <c r="I48" s="258">
        <v>200</v>
      </c>
    </row>
    <row r="49" spans="1:6" x14ac:dyDescent="0.2">
      <c r="A49" s="40" t="s">
        <v>150</v>
      </c>
      <c r="B49" s="55">
        <v>15</v>
      </c>
      <c r="C49" s="28" t="s">
        <v>204</v>
      </c>
      <c r="D49" s="28" t="s">
        <v>33</v>
      </c>
      <c r="E49" s="43">
        <f>PEF!C2</f>
        <v>1365593623.3683286</v>
      </c>
      <c r="F49" s="28" t="s">
        <v>34</v>
      </c>
    </row>
    <row r="50" spans="1:6" x14ac:dyDescent="0.2">
      <c r="A50" s="28" t="s">
        <v>160</v>
      </c>
      <c r="B50" s="55">
        <v>2</v>
      </c>
      <c r="C50" s="28" t="s">
        <v>203</v>
      </c>
      <c r="D50" s="28" t="s">
        <v>102</v>
      </c>
      <c r="E50" s="32">
        <f>B22</f>
        <v>226.025409</v>
      </c>
      <c r="F50" s="28" t="s">
        <v>103</v>
      </c>
    </row>
    <row r="51" spans="1:6" x14ac:dyDescent="0.2">
      <c r="A51" s="28" t="s">
        <v>161</v>
      </c>
      <c r="B51" s="55">
        <v>20</v>
      </c>
      <c r="C51" s="28" t="s">
        <v>203</v>
      </c>
      <c r="D51" s="28" t="s">
        <v>100</v>
      </c>
      <c r="E51" s="207">
        <v>27.027027027027</v>
      </c>
      <c r="F51" s="28" t="s">
        <v>101</v>
      </c>
    </row>
    <row r="52" spans="1:6" x14ac:dyDescent="0.2">
      <c r="A52" s="28" t="s">
        <v>147</v>
      </c>
      <c r="B52" s="55">
        <v>55</v>
      </c>
      <c r="C52" s="28" t="s">
        <v>24</v>
      </c>
      <c r="D52" s="28" t="s">
        <v>104</v>
      </c>
      <c r="E52" s="32">
        <f>2.8*(10^(-15))</f>
        <v>2.8000000000000001E-15</v>
      </c>
    </row>
    <row r="53" spans="1:6" x14ac:dyDescent="0.2">
      <c r="A53" s="28" t="s">
        <v>146</v>
      </c>
      <c r="B53" s="55">
        <v>25</v>
      </c>
      <c r="C53" s="28" t="s">
        <v>24</v>
      </c>
    </row>
    <row r="54" spans="1:6" x14ac:dyDescent="0.2">
      <c r="A54" s="28" t="s">
        <v>163</v>
      </c>
      <c r="B54" s="55">
        <v>0.77</v>
      </c>
      <c r="C54" s="28"/>
      <c r="F54" s="31" t="s">
        <v>196</v>
      </c>
    </row>
    <row r="55" spans="1:6" x14ac:dyDescent="0.2">
      <c r="A55" s="28" t="s">
        <v>164</v>
      </c>
      <c r="B55" s="55">
        <v>0.23</v>
      </c>
      <c r="C55" s="28"/>
      <c r="F55" s="31" t="s">
        <v>95</v>
      </c>
    </row>
    <row r="56" spans="1:6" ht="15" x14ac:dyDescent="0.2">
      <c r="A56" s="428" t="s">
        <v>180</v>
      </c>
      <c r="B56" s="428"/>
      <c r="C56" s="428"/>
      <c r="F56" s="31" t="s">
        <v>96</v>
      </c>
    </row>
    <row r="57" spans="1:6" x14ac:dyDescent="0.2">
      <c r="A57" s="40" t="s">
        <v>133</v>
      </c>
      <c r="B57" s="166">
        <v>55</v>
      </c>
      <c r="C57" s="40" t="s">
        <v>202</v>
      </c>
      <c r="F57" s="31" t="s">
        <v>97</v>
      </c>
    </row>
    <row r="58" spans="1:6" x14ac:dyDescent="0.2">
      <c r="A58" s="40" t="s">
        <v>122</v>
      </c>
      <c r="B58" s="42">
        <v>5</v>
      </c>
      <c r="C58" s="40" t="s">
        <v>203</v>
      </c>
    </row>
    <row r="59" spans="1:6" x14ac:dyDescent="0.2">
      <c r="A59" s="40" t="s">
        <v>185</v>
      </c>
      <c r="B59" s="42">
        <v>5</v>
      </c>
      <c r="C59" s="40" t="s">
        <v>203</v>
      </c>
    </row>
    <row r="60" spans="1:6" x14ac:dyDescent="0.2">
      <c r="A60" s="40" t="s">
        <v>186</v>
      </c>
      <c r="B60" s="42">
        <v>5</v>
      </c>
      <c r="C60" s="40" t="s">
        <v>203</v>
      </c>
    </row>
    <row r="61" spans="1:6" x14ac:dyDescent="0.2">
      <c r="A61" s="40" t="s">
        <v>135</v>
      </c>
      <c r="B61" s="42">
        <v>1</v>
      </c>
      <c r="C61" s="40" t="s">
        <v>10</v>
      </c>
    </row>
    <row r="62" spans="1:6" x14ac:dyDescent="0.2">
      <c r="A62" s="40" t="s">
        <v>136</v>
      </c>
      <c r="B62" s="42">
        <v>55</v>
      </c>
      <c r="C62" s="40" t="s">
        <v>120</v>
      </c>
    </row>
    <row r="63" spans="1:6" x14ac:dyDescent="0.2">
      <c r="A63" s="40" t="s">
        <v>134</v>
      </c>
      <c r="B63" s="42">
        <v>5</v>
      </c>
      <c r="C63" s="40" t="s">
        <v>121</v>
      </c>
    </row>
    <row r="64" spans="1:6" x14ac:dyDescent="0.2">
      <c r="A64" s="40" t="s">
        <v>137</v>
      </c>
      <c r="B64" s="42">
        <v>5</v>
      </c>
      <c r="C64" s="40" t="s">
        <v>204</v>
      </c>
    </row>
    <row r="65" spans="1:3" ht="15" x14ac:dyDescent="0.2">
      <c r="A65" s="429" t="s">
        <v>181</v>
      </c>
      <c r="B65" s="429"/>
      <c r="C65" s="429"/>
    </row>
    <row r="66" spans="1:3" x14ac:dyDescent="0.2">
      <c r="A66" s="40" t="s">
        <v>128</v>
      </c>
      <c r="B66" s="166">
        <v>55</v>
      </c>
      <c r="C66" s="40" t="s">
        <v>202</v>
      </c>
    </row>
    <row r="67" spans="1:3" x14ac:dyDescent="0.2">
      <c r="A67" s="40" t="s">
        <v>122</v>
      </c>
      <c r="B67" s="42">
        <v>5</v>
      </c>
      <c r="C67" s="40" t="s">
        <v>203</v>
      </c>
    </row>
    <row r="68" spans="1:3" x14ac:dyDescent="0.2">
      <c r="A68" s="40" t="s">
        <v>183</v>
      </c>
      <c r="B68" s="42">
        <v>5</v>
      </c>
      <c r="C68" s="40" t="s">
        <v>203</v>
      </c>
    </row>
    <row r="69" spans="1:3" x14ac:dyDescent="0.2">
      <c r="A69" s="40" t="s">
        <v>184</v>
      </c>
      <c r="B69" s="42">
        <v>5</v>
      </c>
      <c r="C69" s="40" t="s">
        <v>203</v>
      </c>
    </row>
    <row r="70" spans="1:3" x14ac:dyDescent="0.2">
      <c r="A70" s="40" t="s">
        <v>129</v>
      </c>
      <c r="B70" s="42">
        <v>1</v>
      </c>
      <c r="C70" s="40" t="s">
        <v>10</v>
      </c>
    </row>
    <row r="71" spans="1:3" x14ac:dyDescent="0.2">
      <c r="A71" s="40" t="s">
        <v>130</v>
      </c>
      <c r="B71" s="42">
        <v>55</v>
      </c>
      <c r="C71" s="40" t="s">
        <v>120</v>
      </c>
    </row>
    <row r="72" spans="1:3" x14ac:dyDescent="0.2">
      <c r="A72" s="40" t="s">
        <v>127</v>
      </c>
      <c r="B72" s="42">
        <v>5</v>
      </c>
      <c r="C72" s="40" t="s">
        <v>121</v>
      </c>
    </row>
    <row r="73" spans="1:3" x14ac:dyDescent="0.2">
      <c r="A73" s="40" t="s">
        <v>131</v>
      </c>
      <c r="B73" s="42">
        <v>5</v>
      </c>
      <c r="C73" s="40" t="s">
        <v>204</v>
      </c>
    </row>
    <row r="74" spans="1:3" ht="15" x14ac:dyDescent="0.2">
      <c r="A74" s="430" t="s">
        <v>182</v>
      </c>
      <c r="B74" s="430"/>
      <c r="C74" s="430"/>
    </row>
    <row r="75" spans="1:3" x14ac:dyDescent="0.2">
      <c r="A75" s="40" t="s">
        <v>13</v>
      </c>
      <c r="B75" s="166">
        <v>55</v>
      </c>
      <c r="C75" s="40" t="s">
        <v>202</v>
      </c>
    </row>
    <row r="76" spans="1:3" x14ac:dyDescent="0.2">
      <c r="A76" s="40" t="s">
        <v>122</v>
      </c>
      <c r="B76" s="42">
        <v>5</v>
      </c>
      <c r="C76" s="40" t="s">
        <v>203</v>
      </c>
    </row>
    <row r="77" spans="1:3" x14ac:dyDescent="0.2">
      <c r="A77" s="40" t="s">
        <v>123</v>
      </c>
      <c r="B77" s="42">
        <v>5</v>
      </c>
      <c r="C77" s="40" t="s">
        <v>203</v>
      </c>
    </row>
    <row r="78" spans="1:3" x14ac:dyDescent="0.2">
      <c r="A78" s="40" t="s">
        <v>124</v>
      </c>
      <c r="B78" s="42">
        <v>5</v>
      </c>
      <c r="C78" s="40" t="s">
        <v>203</v>
      </c>
    </row>
    <row r="79" spans="1:3" x14ac:dyDescent="0.2">
      <c r="A79" s="40" t="s">
        <v>15</v>
      </c>
      <c r="B79" s="42">
        <v>1</v>
      </c>
      <c r="C79" s="40" t="s">
        <v>10</v>
      </c>
    </row>
    <row r="80" spans="1:3" x14ac:dyDescent="0.2">
      <c r="A80" s="40" t="s">
        <v>17</v>
      </c>
      <c r="B80" s="42">
        <v>55</v>
      </c>
      <c r="C80" s="40" t="s">
        <v>120</v>
      </c>
    </row>
    <row r="81" spans="1:3" x14ac:dyDescent="0.2">
      <c r="A81" s="40" t="s">
        <v>12</v>
      </c>
      <c r="B81" s="42">
        <v>5</v>
      </c>
      <c r="C81" s="40" t="s">
        <v>121</v>
      </c>
    </row>
    <row r="82" spans="1:3" x14ac:dyDescent="0.2">
      <c r="A82" s="40" t="s">
        <v>18</v>
      </c>
      <c r="B82" s="42">
        <v>5</v>
      </c>
      <c r="C82" s="40" t="s">
        <v>204</v>
      </c>
    </row>
    <row r="105" spans="1:1" x14ac:dyDescent="0.2">
      <c r="A105" s="28"/>
    </row>
    <row r="106" spans="1:1" x14ac:dyDescent="0.2">
      <c r="A106" s="28"/>
    </row>
  </sheetData>
  <mergeCells count="18">
    <mergeCell ref="A65:C65"/>
    <mergeCell ref="A74:C74"/>
    <mergeCell ref="D1:F1"/>
    <mergeCell ref="G1:I1"/>
    <mergeCell ref="J1:L1"/>
    <mergeCell ref="A34:C34"/>
    <mergeCell ref="A56:C56"/>
    <mergeCell ref="Y1:AA1"/>
    <mergeCell ref="AB1:AD1"/>
    <mergeCell ref="A2:C5"/>
    <mergeCell ref="AE1:AG1"/>
    <mergeCell ref="AH1:AJ1"/>
    <mergeCell ref="AK1:AM1"/>
    <mergeCell ref="A1:C1"/>
    <mergeCell ref="P1:R1"/>
    <mergeCell ref="S1:U1"/>
    <mergeCell ref="V1:X1"/>
    <mergeCell ref="M1:O1"/>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06"/>
  <sheetViews>
    <sheetView zoomScale="80" zoomScaleNormal="80" workbookViewId="0">
      <pane xSplit="3" ySplit="1" topLeftCell="D2" activePane="bottomRight" state="frozen"/>
      <selection pane="topRight" activeCell="D1" sqref="D1"/>
      <selection pane="bottomLeft" activeCell="A2" sqref="A2"/>
      <selection pane="bottomRight" sqref="A1:C1"/>
    </sheetView>
  </sheetViews>
  <sheetFormatPr defaultRowHeight="12.75" x14ac:dyDescent="0.2"/>
  <cols>
    <col min="1" max="1" width="13.7109375" bestFit="1" customWidth="1"/>
    <col min="2" max="2" width="9.28515625" bestFit="1" customWidth="1"/>
    <col min="3" max="3" width="21" bestFit="1" customWidth="1"/>
    <col min="4" max="4" width="12.28515625" style="28" bestFit="1" customWidth="1"/>
    <col min="5" max="5" width="9.28515625" style="32" bestFit="1" customWidth="1"/>
    <col min="6" max="6" width="20.5703125" style="28" bestFit="1" customWidth="1"/>
    <col min="7" max="7" width="13.7109375" bestFit="1" customWidth="1"/>
    <col min="8" max="8" width="9.28515625" bestFit="1" customWidth="1"/>
    <col min="9" max="9" width="21" bestFit="1" customWidth="1"/>
    <col min="10" max="10" width="13.7109375" bestFit="1" customWidth="1"/>
    <col min="11" max="11" width="9.28515625" bestFit="1" customWidth="1"/>
    <col min="12" max="12" width="21" bestFit="1" customWidth="1"/>
    <col min="13" max="13" width="12.28515625" style="28" bestFit="1" customWidth="1"/>
    <col min="14" max="14" width="9.28515625" style="32" bestFit="1" customWidth="1"/>
    <col min="15" max="15" width="20.5703125" style="28" bestFit="1" customWidth="1"/>
    <col min="16" max="16" width="13.7109375" bestFit="1" customWidth="1"/>
    <col min="17" max="17" width="9.28515625" bestFit="1" customWidth="1"/>
    <col min="18" max="18" width="21" bestFit="1" customWidth="1"/>
    <col min="19" max="19" width="13.7109375" bestFit="1" customWidth="1"/>
    <col min="20" max="20" width="9.28515625" bestFit="1" customWidth="1"/>
    <col min="21" max="21" width="21" bestFit="1" customWidth="1"/>
    <col min="22" max="22" width="12.28515625" style="28" bestFit="1" customWidth="1"/>
    <col min="23" max="23" width="9.28515625" style="28" bestFit="1" customWidth="1"/>
    <col min="24" max="24" width="20.5703125" style="28" bestFit="1" customWidth="1"/>
    <col min="25" max="25" width="13.7109375" bestFit="1" customWidth="1"/>
    <col min="26" max="26" width="9.28515625" bestFit="1" customWidth="1"/>
    <col min="27" max="27" width="21" bestFit="1" customWidth="1"/>
    <col min="28" max="28" width="13.7109375" bestFit="1" customWidth="1"/>
    <col min="29" max="29" width="9.28515625" bestFit="1" customWidth="1"/>
    <col min="30" max="30" width="21" bestFit="1" customWidth="1"/>
    <col min="31" max="31" width="12.28515625" style="28" bestFit="1" customWidth="1"/>
    <col min="32" max="32" width="9.28515625" style="32" bestFit="1" customWidth="1"/>
    <col min="33" max="33" width="20.5703125" style="28" bestFit="1" customWidth="1"/>
    <col min="34" max="34" width="13.7109375" bestFit="1" customWidth="1"/>
    <col min="35" max="35" width="9.28515625" bestFit="1" customWidth="1"/>
    <col min="36" max="36" width="21" bestFit="1" customWidth="1"/>
    <col min="37" max="37" width="13.7109375" bestFit="1" customWidth="1"/>
    <col min="38" max="38" width="13" bestFit="1" customWidth="1"/>
    <col min="39" max="39" width="21" bestFit="1" customWidth="1"/>
  </cols>
  <sheetData>
    <row r="1" spans="1:39" ht="21.75" thickTop="1" thickBot="1" x14ac:dyDescent="0.3">
      <c r="A1" s="396" t="s">
        <v>20</v>
      </c>
      <c r="B1" s="397"/>
      <c r="C1" s="398"/>
      <c r="D1" s="431" t="s">
        <v>171</v>
      </c>
      <c r="E1" s="432"/>
      <c r="F1" s="433"/>
      <c r="G1" s="434" t="s">
        <v>187</v>
      </c>
      <c r="H1" s="432"/>
      <c r="I1" s="433"/>
      <c r="J1" s="434" t="s">
        <v>188</v>
      </c>
      <c r="K1" s="432"/>
      <c r="L1" s="433"/>
      <c r="M1" s="420" t="s">
        <v>172</v>
      </c>
      <c r="N1" s="421"/>
      <c r="O1" s="422"/>
      <c r="P1" s="420" t="s">
        <v>189</v>
      </c>
      <c r="Q1" s="421"/>
      <c r="R1" s="422"/>
      <c r="S1" s="420" t="s">
        <v>168</v>
      </c>
      <c r="T1" s="421"/>
      <c r="U1" s="422"/>
      <c r="V1" s="423" t="s">
        <v>173</v>
      </c>
      <c r="W1" s="424"/>
      <c r="X1" s="425"/>
      <c r="Y1" s="423" t="s">
        <v>190</v>
      </c>
      <c r="Z1" s="424"/>
      <c r="AA1" s="425"/>
      <c r="AB1" s="423" t="s">
        <v>169</v>
      </c>
      <c r="AC1" s="424"/>
      <c r="AD1" s="425"/>
      <c r="AE1" s="417" t="s">
        <v>174</v>
      </c>
      <c r="AF1" s="418"/>
      <c r="AG1" s="419"/>
      <c r="AH1" s="417" t="s">
        <v>191</v>
      </c>
      <c r="AI1" s="418"/>
      <c r="AJ1" s="419"/>
      <c r="AK1" s="417" t="s">
        <v>170</v>
      </c>
      <c r="AL1" s="418"/>
      <c r="AM1" s="419"/>
    </row>
    <row r="2" spans="1:39" s="1" customFormat="1" ht="15" thickTop="1" x14ac:dyDescent="0.2">
      <c r="A2" s="384" t="s">
        <v>112</v>
      </c>
      <c r="B2" s="385"/>
      <c r="C2" s="386"/>
      <c r="D2" s="318" t="s">
        <v>175</v>
      </c>
      <c r="E2" s="325">
        <f>1/((1/E17)+(1/E18)+(1/E20))</f>
        <v>78.900674437919989</v>
      </c>
      <c r="F2" s="273" t="s">
        <v>176</v>
      </c>
      <c r="G2" s="84" t="s">
        <v>82</v>
      </c>
      <c r="H2" s="232">
        <f>(H17*H18*H19)/(H20*H22*H35*H33*H34*H37*H27*(1/365)*((H32*H30)+(H36*H29))*(1/24))</f>
        <v>21163.14413295377</v>
      </c>
      <c r="I2" s="49" t="s">
        <v>108</v>
      </c>
      <c r="J2" s="84" t="s">
        <v>82</v>
      </c>
      <c r="K2" s="232">
        <f>(K17*K18*K19)/(K20*K22*K35*K33*K34*K37*K27*(1/365)*((K32*K30)+(K36*K29))*(1/24))</f>
        <v>32738.270123988284</v>
      </c>
      <c r="L2" s="49" t="s">
        <v>108</v>
      </c>
      <c r="M2" s="319" t="s">
        <v>175</v>
      </c>
      <c r="N2" s="327" t="e">
        <f>1/((1/N17)+(1/N18)+(1/N20))</f>
        <v>#DIV/0!</v>
      </c>
      <c r="O2" s="266" t="s">
        <v>176</v>
      </c>
      <c r="P2" s="91" t="s">
        <v>82</v>
      </c>
      <c r="Q2" s="229">
        <f>(Q17*Q18*Q19)/(Q20*Q22*Q30*Q35*Q33*Q34*Q37*Q32*(1/24)*Q27*(1/365))</f>
        <v>21163.144132953767</v>
      </c>
      <c r="R2" s="92" t="s">
        <v>108</v>
      </c>
      <c r="S2" s="91" t="s">
        <v>82</v>
      </c>
      <c r="T2" s="229">
        <f>(T17*T18*T19)/(T20*T22*T35*T33*T34*T37*T27*(1/365)*T30*T32*(1/24))</f>
        <v>32738.270123988284</v>
      </c>
      <c r="U2" s="92" t="s">
        <v>108</v>
      </c>
      <c r="V2" s="320" t="s">
        <v>175</v>
      </c>
      <c r="W2" s="307" t="e">
        <f>1/((1/W17)+(1/W18)+(1/W20))</f>
        <v>#DIV/0!</v>
      </c>
      <c r="X2" s="278" t="s">
        <v>176</v>
      </c>
      <c r="Y2" s="75" t="s">
        <v>82</v>
      </c>
      <c r="Z2" s="223">
        <f>(Z17*Z18*Z19)/(Z20*Z22*Z30*Z35*Z33*Z34*Z37*Z32*(1/24)*Z27*(1/365))</f>
        <v>21163.144132953767</v>
      </c>
      <c r="AA2" s="76" t="s">
        <v>108</v>
      </c>
      <c r="AB2" s="75" t="s">
        <v>82</v>
      </c>
      <c r="AC2" s="223">
        <f>(AC17*AC18*AC19)/(AC20*AC22*AC35*AC33*AC34*AC37*AC27*(1/365)*AC30*AC32*(1/24))</f>
        <v>32738.270123988284</v>
      </c>
      <c r="AD2" s="76" t="s">
        <v>108</v>
      </c>
      <c r="AE2" s="321" t="s">
        <v>175</v>
      </c>
      <c r="AF2" s="326" t="e">
        <f>1/((1/AF17)+(1/AF18)+(1/AF20))</f>
        <v>#DIV/0!</v>
      </c>
      <c r="AG2" s="269" t="s">
        <v>176</v>
      </c>
      <c r="AH2" s="175" t="s">
        <v>82</v>
      </c>
      <c r="AI2" s="226">
        <f>(AI17*AI18*AI19)/(AI20*AI22*AI30*AI35*AI33*AI34*AI37*AI32*(1/24)*AI27*(1/365))</f>
        <v>141087.62755302512</v>
      </c>
      <c r="AJ2" s="50" t="s">
        <v>108</v>
      </c>
      <c r="AK2" s="175" t="s">
        <v>82</v>
      </c>
      <c r="AL2" s="226">
        <f>(AL17*AL18*AL19)/(AL20*AL22*AL35*AL33*AL34*AL37*AL27*(1/365)*AL30*AL32*(1/24))</f>
        <v>218255.13415992187</v>
      </c>
      <c r="AM2" s="50" t="s">
        <v>108</v>
      </c>
    </row>
    <row r="3" spans="1:39" s="1" customFormat="1" ht="15" thickBot="1" x14ac:dyDescent="0.25">
      <c r="A3" s="387"/>
      <c r="B3" s="388"/>
      <c r="C3" s="389"/>
      <c r="D3" s="272" t="s">
        <v>177</v>
      </c>
      <c r="E3" s="304">
        <f>1/((1/E17)+(1/E19)+(1/E20))</f>
        <v>2609.7110743642361</v>
      </c>
      <c r="F3" s="270" t="s">
        <v>176</v>
      </c>
      <c r="G3" s="85" t="s">
        <v>83</v>
      </c>
      <c r="H3" s="233">
        <f>(H17*H18*H19)/(H20*H23*H35*H33*H34*H37*H27*(1/365)*((H32*H30)+(H36*H29))*(1/24))</f>
        <v>103634.52517547329</v>
      </c>
      <c r="I3" s="86" t="s">
        <v>110</v>
      </c>
      <c r="J3" s="85" t="s">
        <v>83</v>
      </c>
      <c r="K3" s="233">
        <f>(K17*K18*K19)/(K20*K23*K35*K33*K34*K38*K27*(1/365)*((K32*K30)+(K36*K29))*(1/24))</f>
        <v>261786.66819684213</v>
      </c>
      <c r="L3" s="86" t="s">
        <v>110</v>
      </c>
      <c r="M3" s="265" t="s">
        <v>177</v>
      </c>
      <c r="N3" s="308" t="e">
        <f>1/((1/N17)+(1/N19)+(1/N20))</f>
        <v>#DIV/0!</v>
      </c>
      <c r="O3" s="260" t="s">
        <v>176</v>
      </c>
      <c r="P3" s="93" t="s">
        <v>83</v>
      </c>
      <c r="Q3" s="230">
        <f>(Q17*Q18*Q19)/(Q20*Q23*Q30*Q35*Q33*Q34*Q37*Q32*(1/24)*Q27*(1/365))</f>
        <v>103634.52517547326</v>
      </c>
      <c r="R3" s="94" t="s">
        <v>110</v>
      </c>
      <c r="S3" s="93" t="s">
        <v>83</v>
      </c>
      <c r="T3" s="230">
        <f>(T17*T18*T19)/(T20*T23*T30*T35*T33*T34*T38*T32*(1/24)*T27*(1/365))</f>
        <v>261786.66819684213</v>
      </c>
      <c r="U3" s="94" t="s">
        <v>110</v>
      </c>
      <c r="V3" s="277" t="s">
        <v>177</v>
      </c>
      <c r="W3" s="306" t="e">
        <f>1/((1/W17)+(1/W19)+(1/W20))</f>
        <v>#DIV/0!</v>
      </c>
      <c r="X3" s="275" t="s">
        <v>176</v>
      </c>
      <c r="Y3" s="77" t="s">
        <v>83</v>
      </c>
      <c r="Z3" s="224">
        <f>(Z17*Z18*Z19)/(Z20*Z23*Z30*Z35*Z33*Z34*Z37*Z32*(1/24)*Z27*(1/365))</f>
        <v>103634.52517547326</v>
      </c>
      <c r="AA3" s="78" t="s">
        <v>110</v>
      </c>
      <c r="AB3" s="77" t="s">
        <v>83</v>
      </c>
      <c r="AC3" s="224">
        <f>(AC17*AC18*AC19)/(AC20*AC23*AC30*AC35*AC33*AC34*AC38*AC32*(1/24)*AC27*(1/365))</f>
        <v>261786.66819684213</v>
      </c>
      <c r="AD3" s="78" t="s">
        <v>110</v>
      </c>
      <c r="AE3" s="268" t="s">
        <v>177</v>
      </c>
      <c r="AF3" s="309" t="e">
        <f>1/((1/AF17)+(1/AF19)+(1/AF20))</f>
        <v>#DIV/0!</v>
      </c>
      <c r="AG3" s="262" t="s">
        <v>176</v>
      </c>
      <c r="AH3" s="176" t="s">
        <v>83</v>
      </c>
      <c r="AI3" s="227">
        <f>(AI17*AI18*AI19)/(AI20*AI23*AI30*AI35*AI33*AI34*AI37*AI32*(1/24)*AI27*(1/365))</f>
        <v>690896.8345031552</v>
      </c>
      <c r="AJ3" s="177" t="s">
        <v>110</v>
      </c>
      <c r="AK3" s="176" t="s">
        <v>83</v>
      </c>
      <c r="AL3" s="227">
        <f>(AL17*AL18*AL19)/(AL20*AL23*AL30*AL35*AL33*AL34*AL38*AL32*(1/24)*AL27*(1/365))</f>
        <v>1745244.4546456141</v>
      </c>
      <c r="AM3" s="177" t="s">
        <v>110</v>
      </c>
    </row>
    <row r="4" spans="1:39" s="1" customFormat="1" ht="14.25" x14ac:dyDescent="0.2">
      <c r="A4" s="387"/>
      <c r="B4" s="388"/>
      <c r="C4" s="389"/>
      <c r="D4" s="271" t="s">
        <v>175</v>
      </c>
      <c r="E4" s="322">
        <f>E2/E51</f>
        <v>2.9193249542030424</v>
      </c>
      <c r="F4" s="273" t="s">
        <v>178</v>
      </c>
      <c r="G4" s="85" t="s">
        <v>84</v>
      </c>
      <c r="H4" s="233">
        <f>(H17*H18*H19)/(H20*H24*H35*H33*H34*H37*H27*(1/365)*((H32*H30)+(H36*H29))*(1/24))</f>
        <v>102228.74708291228</v>
      </c>
      <c r="I4" s="86" t="s">
        <v>109</v>
      </c>
      <c r="J4" s="85" t="s">
        <v>84</v>
      </c>
      <c r="K4" s="233">
        <f>(K17*K18*K19)/(K20*K24*K35*K33*K34*K39*K27*(1/365)*((K32*K30)+(K36*K29))*(1/24))</f>
        <v>183944.5944938054</v>
      </c>
      <c r="L4" s="86" t="s">
        <v>109</v>
      </c>
      <c r="M4" s="264" t="s">
        <v>175</v>
      </c>
      <c r="N4" s="324" t="e">
        <f>N2/N41</f>
        <v>#DIV/0!</v>
      </c>
      <c r="O4" s="266" t="s">
        <v>178</v>
      </c>
      <c r="P4" s="93" t="s">
        <v>84</v>
      </c>
      <c r="Q4" s="230">
        <f>(Q17*Q18*Q19)/(Q20*Q24*Q30*Q35*Q33*Q34*Q37*Q32*(1/24)*Q27*(1/365))</f>
        <v>102228.74708291228</v>
      </c>
      <c r="R4" s="94" t="s">
        <v>109</v>
      </c>
      <c r="S4" s="93" t="s">
        <v>84</v>
      </c>
      <c r="T4" s="230">
        <f>(T17*T18*T19)/(T20*T24*T30*T35*T33*T34*T39*T32*(1/24)*T27*(1/365))</f>
        <v>183944.59449380543</v>
      </c>
      <c r="U4" s="94" t="s">
        <v>109</v>
      </c>
      <c r="V4" s="276" t="s">
        <v>175</v>
      </c>
      <c r="W4" s="305" t="e">
        <f>W2/W41</f>
        <v>#DIV/0!</v>
      </c>
      <c r="X4" s="278" t="s">
        <v>178</v>
      </c>
      <c r="Y4" s="77" t="s">
        <v>84</v>
      </c>
      <c r="Z4" s="224">
        <f>(Z17*Z18*Z19)/(Z20*Z24*Z30*Z35*Z33*Z34*Z37*Z32*(1/24)*Z27*(1/365))</f>
        <v>102228.74708291228</v>
      </c>
      <c r="AA4" s="78" t="s">
        <v>109</v>
      </c>
      <c r="AB4" s="77" t="s">
        <v>84</v>
      </c>
      <c r="AC4" s="224">
        <f>(AC17*AC18*AC19)/(AC20*AC24*AC30*AC35*AC33*AC34*AC39*AC32*(1/24)*AC27*(1/365))</f>
        <v>183944.59449380543</v>
      </c>
      <c r="AD4" s="78" t="s">
        <v>109</v>
      </c>
      <c r="AE4" s="267" t="s">
        <v>175</v>
      </c>
      <c r="AF4" s="323" t="e">
        <f>AF2/AF41</f>
        <v>#DIV/0!</v>
      </c>
      <c r="AG4" s="269" t="s">
        <v>178</v>
      </c>
      <c r="AH4" s="176" t="s">
        <v>84</v>
      </c>
      <c r="AI4" s="227">
        <f>(AI17*AI18*AI19)/(AI20*AI24*AI30*AI35*AI33*AI34*AI37*AI32*(1/24)*AI27*(1/365))</f>
        <v>681524.98055274854</v>
      </c>
      <c r="AJ4" s="177" t="s">
        <v>109</v>
      </c>
      <c r="AK4" s="176" t="s">
        <v>84</v>
      </c>
      <c r="AL4" s="227">
        <f>(AL17*AL18*AL19)/(AL20*AL24*AL30*AL35*AL33*AL34*AL39*AL32*(1/24)*AL27*(1/365))</f>
        <v>1226297.2966253695</v>
      </c>
      <c r="AM4" s="177" t="s">
        <v>109</v>
      </c>
    </row>
    <row r="5" spans="1:39" s="1" customFormat="1" ht="15" thickBot="1" x14ac:dyDescent="0.25">
      <c r="A5" s="390"/>
      <c r="B5" s="391"/>
      <c r="C5" s="392"/>
      <c r="D5" s="272" t="s">
        <v>177</v>
      </c>
      <c r="E5" s="304">
        <f>E3/E51</f>
        <v>96.559309751476832</v>
      </c>
      <c r="F5" s="274" t="s">
        <v>178</v>
      </c>
      <c r="G5" s="85" t="s">
        <v>85</v>
      </c>
      <c r="H5" s="233">
        <f>(H17*H18*H19)/(H20*H25*H35*H33*H34*H37*H27*(1/365)*((H32*H30)+(H36*H29))*(1/24))</f>
        <v>35848.416510501185</v>
      </c>
      <c r="I5" s="86" t="s">
        <v>109</v>
      </c>
      <c r="J5" s="85" t="s">
        <v>85</v>
      </c>
      <c r="K5" s="233">
        <f>(K17*K18*K19)/(K20*K25*K35*K33*K34*K40*K27*(1/365)*((K32*K30)+(K36*K29))*(1/24))</f>
        <v>58001.439058320197</v>
      </c>
      <c r="L5" s="86" t="s">
        <v>109</v>
      </c>
      <c r="M5" s="265" t="s">
        <v>177</v>
      </c>
      <c r="N5" s="308" t="e">
        <f>N3/N41</f>
        <v>#DIV/0!</v>
      </c>
      <c r="O5" s="261" t="s">
        <v>178</v>
      </c>
      <c r="P5" s="93" t="s">
        <v>85</v>
      </c>
      <c r="Q5" s="230">
        <f>(Q17*Q18*Q19)/(Q20*Q25*Q30*Q35*Q33*Q34*Q37*Q32*(1/24)*Q27*(1/365))</f>
        <v>35848.416510501185</v>
      </c>
      <c r="R5" s="94" t="s">
        <v>109</v>
      </c>
      <c r="S5" s="93" t="s">
        <v>85</v>
      </c>
      <c r="T5" s="230">
        <f>(T17*T18*T19)/(T20*T25*T30*T35*T33*T34*T40*T32*(1/24)*T27*(1/365))</f>
        <v>58001.439058320218</v>
      </c>
      <c r="U5" s="94" t="s">
        <v>109</v>
      </c>
      <c r="V5" s="277" t="s">
        <v>177</v>
      </c>
      <c r="W5" s="306" t="e">
        <f>W3/W41</f>
        <v>#DIV/0!</v>
      </c>
      <c r="X5" s="279" t="s">
        <v>178</v>
      </c>
      <c r="Y5" s="77" t="s">
        <v>85</v>
      </c>
      <c r="Z5" s="224">
        <f>(Z17*Z18*Z19)/(Z20*Z25*Z30*Z35*Z33*Z34*Z37*Z32*(1/24)*Z27*(1/365))</f>
        <v>35848.416510501185</v>
      </c>
      <c r="AA5" s="78" t="s">
        <v>109</v>
      </c>
      <c r="AB5" s="77" t="s">
        <v>85</v>
      </c>
      <c r="AC5" s="224">
        <f>(AC17*AC18*AC19)/(AC20*AC25*AC30*AC35*AC33*AC34*AC40*AC32*(1/24)*AC27*(1/365))</f>
        <v>58001.439058320218</v>
      </c>
      <c r="AD5" s="78" t="s">
        <v>109</v>
      </c>
      <c r="AE5" s="268" t="s">
        <v>177</v>
      </c>
      <c r="AF5" s="309" t="e">
        <f>AF3/AF41</f>
        <v>#DIV/0!</v>
      </c>
      <c r="AG5" s="263" t="s">
        <v>178</v>
      </c>
      <c r="AH5" s="176" t="s">
        <v>85</v>
      </c>
      <c r="AI5" s="227">
        <f>(AI17*AI18*AI19)/(AI20*AI25*AI30*AI35*AI33*AI34*AI37*AI32*(1/24)*AI27*(1/365))</f>
        <v>238989.4434033412</v>
      </c>
      <c r="AJ5" s="177" t="s">
        <v>109</v>
      </c>
      <c r="AK5" s="176" t="s">
        <v>85</v>
      </c>
      <c r="AL5" s="227">
        <f>(AL17*AL18*AL19)/(AL20*AL25*AL30*AL35*AL33*AL34*AL40*AL32*(1/24)*AL27*(1/365))</f>
        <v>386676.2603888014</v>
      </c>
      <c r="AM5" s="177" t="s">
        <v>109</v>
      </c>
    </row>
    <row r="6" spans="1:39" s="1" customFormat="1" ht="15.75" thickTop="1" thickBot="1" x14ac:dyDescent="0.25">
      <c r="A6" s="28" t="s">
        <v>21</v>
      </c>
      <c r="B6" s="190">
        <v>1</v>
      </c>
      <c r="C6" s="28" t="s">
        <v>138</v>
      </c>
      <c r="D6" s="271" t="s">
        <v>175</v>
      </c>
      <c r="E6" s="322">
        <f>E2*E13*E50*E52</f>
        <v>5.1380028050015851E-13</v>
      </c>
      <c r="F6" s="273" t="s">
        <v>179</v>
      </c>
      <c r="G6" s="87" t="s">
        <v>86</v>
      </c>
      <c r="H6" s="234">
        <f>(H17*H18*H19)/(H20*H26*H35*H33*H34*H37*H27*(1/365)*((H32*H30)+(H36*H29))*(1/24))</f>
        <v>23198.06183804548</v>
      </c>
      <c r="I6" s="48" t="s">
        <v>109</v>
      </c>
      <c r="J6" s="87" t="s">
        <v>86</v>
      </c>
      <c r="K6" s="234">
        <f>(K17*K18*K19)/(K20*K26*K35*K33*K34*K41*K27*(1/365)*((K32*K30)+(K36*K29))*(1/24))</f>
        <v>38688.622269173196</v>
      </c>
      <c r="L6" s="48" t="s">
        <v>109</v>
      </c>
      <c r="M6" s="264" t="s">
        <v>175</v>
      </c>
      <c r="N6" s="324" t="e">
        <f>N2*N13*N40*N42</f>
        <v>#DIV/0!</v>
      </c>
      <c r="O6" s="266" t="s">
        <v>179</v>
      </c>
      <c r="P6" s="95" t="s">
        <v>86</v>
      </c>
      <c r="Q6" s="231">
        <f>(Q17*Q18*Q19)/(Q20*Q26*Q30*Q35*Q33*Q34*Q37*Q32*(1/24)*Q27*(1/365))</f>
        <v>23198.061838045483</v>
      </c>
      <c r="R6" s="96" t="s">
        <v>109</v>
      </c>
      <c r="S6" s="95" t="s">
        <v>86</v>
      </c>
      <c r="T6" s="231">
        <f>(T17*T18*T19)/(T20*T26*T30*T35*T33*T34*T41*T32*(1/24)*T27*(1/365))</f>
        <v>38688.622269173196</v>
      </c>
      <c r="U6" s="96" t="s">
        <v>109</v>
      </c>
      <c r="V6" s="276" t="s">
        <v>175</v>
      </c>
      <c r="W6" s="305" t="e">
        <f>W2*W13*W40*W42</f>
        <v>#DIV/0!</v>
      </c>
      <c r="X6" s="278" t="s">
        <v>179</v>
      </c>
      <c r="Y6" s="79" t="s">
        <v>86</v>
      </c>
      <c r="Z6" s="225">
        <f>(Z17*Z18*Z19)/(Z20*Z26*Z30*Z35*Z33*Z34*Z37*Z32*(1/24)*Z27*(1/365))</f>
        <v>23198.061838045483</v>
      </c>
      <c r="AA6" s="80" t="s">
        <v>109</v>
      </c>
      <c r="AB6" s="79" t="s">
        <v>86</v>
      </c>
      <c r="AC6" s="225">
        <f>(AC17*AC18*AC19)/(AC20*AC26*AC30*AC35*AC33*AC34*AC41*AC32*(1/24)*AC27*(1/365))</f>
        <v>38688.622269173196</v>
      </c>
      <c r="AD6" s="80" t="s">
        <v>109</v>
      </c>
      <c r="AE6" s="267" t="s">
        <v>175</v>
      </c>
      <c r="AF6" s="323" t="e">
        <f>AF2*AF13*AF40*AF42</f>
        <v>#DIV/0!</v>
      </c>
      <c r="AG6" s="269" t="s">
        <v>179</v>
      </c>
      <c r="AH6" s="178" t="s">
        <v>86</v>
      </c>
      <c r="AI6" s="228">
        <f>(AI17*AI18*AI19)/(AI20*AI26*AI30*AI35*AI33*AI34*AI37*AI32*(1/24)*AI27*(1/365))</f>
        <v>154653.74558696986</v>
      </c>
      <c r="AJ6" s="179" t="s">
        <v>109</v>
      </c>
      <c r="AK6" s="178" t="s">
        <v>86</v>
      </c>
      <c r="AL6" s="228">
        <f>(AL17*AL18*AL19)/(AL20*AL26*AL30*AL35*AL33*AL34*AL41*AL32*(1/24)*AL27*(1/365))</f>
        <v>257924.1484611546</v>
      </c>
      <c r="AM6" s="179" t="s">
        <v>109</v>
      </c>
    </row>
    <row r="7" spans="1:39" s="1" customFormat="1" ht="15" thickBot="1" x14ac:dyDescent="0.25">
      <c r="A7" s="38" t="s">
        <v>22</v>
      </c>
      <c r="B7" s="334">
        <v>1.25E-4</v>
      </c>
      <c r="C7" s="40" t="s">
        <v>11</v>
      </c>
      <c r="D7" s="272" t="s">
        <v>177</v>
      </c>
      <c r="E7" s="304">
        <f>E3*E13*E50*E52</f>
        <v>1.6994408369572652E-11</v>
      </c>
      <c r="F7" s="274" t="s">
        <v>179</v>
      </c>
      <c r="G7" s="84" t="s">
        <v>82</v>
      </c>
      <c r="H7" s="232">
        <f>H2/H42</f>
        <v>783.03633291929032</v>
      </c>
      <c r="I7" s="49" t="s">
        <v>105</v>
      </c>
      <c r="J7" s="84" t="s">
        <v>82</v>
      </c>
      <c r="K7" s="232">
        <f>K2/K42</f>
        <v>1211.3159945875677</v>
      </c>
      <c r="L7" s="49" t="s">
        <v>105</v>
      </c>
      <c r="M7" s="265" t="s">
        <v>177</v>
      </c>
      <c r="N7" s="308" t="e">
        <f>N3*N13*N40*N42</f>
        <v>#DIV/0!</v>
      </c>
      <c r="O7" s="261" t="s">
        <v>179</v>
      </c>
      <c r="P7" s="91" t="s">
        <v>82</v>
      </c>
      <c r="Q7" s="229">
        <f>Q2/Q42</f>
        <v>783.0363329192902</v>
      </c>
      <c r="R7" s="92" t="s">
        <v>105</v>
      </c>
      <c r="S7" s="91" t="s">
        <v>82</v>
      </c>
      <c r="T7" s="229">
        <f>T2/T42</f>
        <v>1211.3159945875677</v>
      </c>
      <c r="U7" s="92" t="s">
        <v>105</v>
      </c>
      <c r="V7" s="277" t="s">
        <v>177</v>
      </c>
      <c r="W7" s="306" t="e">
        <f>W3*W13*W40*W42</f>
        <v>#DIV/0!</v>
      </c>
      <c r="X7" s="279" t="s">
        <v>179</v>
      </c>
      <c r="Y7" s="75" t="s">
        <v>82</v>
      </c>
      <c r="Z7" s="223">
        <f>Z2/Z42</f>
        <v>783.0363329192902</v>
      </c>
      <c r="AA7" s="76" t="s">
        <v>105</v>
      </c>
      <c r="AB7" s="75" t="s">
        <v>82</v>
      </c>
      <c r="AC7" s="223">
        <f>AC2/AC42</f>
        <v>1211.3159945875677</v>
      </c>
      <c r="AD7" s="76" t="s">
        <v>105</v>
      </c>
      <c r="AE7" s="268" t="s">
        <v>177</v>
      </c>
      <c r="AF7" s="309" t="e">
        <f>AF3*AF13*AF40*AF42</f>
        <v>#DIV/0!</v>
      </c>
      <c r="AG7" s="263" t="s">
        <v>179</v>
      </c>
      <c r="AH7" s="175" t="s">
        <v>82</v>
      </c>
      <c r="AI7" s="226">
        <f>AI2/AI42</f>
        <v>5220.2422194619348</v>
      </c>
      <c r="AJ7" s="50" t="s">
        <v>105</v>
      </c>
      <c r="AK7" s="175" t="s">
        <v>82</v>
      </c>
      <c r="AL7" s="226">
        <f>AL2/AL42</f>
        <v>8075.4399639171179</v>
      </c>
      <c r="AM7" s="50" t="s">
        <v>105</v>
      </c>
    </row>
    <row r="8" spans="1:39" s="1" customFormat="1" ht="14.25" x14ac:dyDescent="0.2">
      <c r="A8" s="38" t="s">
        <v>209</v>
      </c>
      <c r="B8" s="333">
        <v>3.3799999999999998E-8</v>
      </c>
      <c r="C8" s="38" t="s">
        <v>11</v>
      </c>
      <c r="D8" s="28" t="s">
        <v>21</v>
      </c>
      <c r="E8" s="32">
        <f>B6</f>
        <v>1</v>
      </c>
      <c r="F8" s="28" t="s">
        <v>138</v>
      </c>
      <c r="G8" s="85" t="s">
        <v>83</v>
      </c>
      <c r="H8" s="233">
        <f>H3/H42</f>
        <v>3834.4774314925157</v>
      </c>
      <c r="I8" s="86" t="s">
        <v>106</v>
      </c>
      <c r="J8" s="85" t="s">
        <v>83</v>
      </c>
      <c r="K8" s="233">
        <f>K3/K42</f>
        <v>9686.1067232831683</v>
      </c>
      <c r="L8" s="86" t="s">
        <v>106</v>
      </c>
      <c r="M8" s="28" t="s">
        <v>21</v>
      </c>
      <c r="N8" s="32">
        <f>B6</f>
        <v>1</v>
      </c>
      <c r="O8" s="28" t="s">
        <v>138</v>
      </c>
      <c r="P8" s="93" t="s">
        <v>83</v>
      </c>
      <c r="Q8" s="230">
        <f>Q3/Q42</f>
        <v>3834.4774314925144</v>
      </c>
      <c r="R8" s="94" t="s">
        <v>106</v>
      </c>
      <c r="S8" s="93" t="s">
        <v>83</v>
      </c>
      <c r="T8" s="230">
        <f>T3/T42</f>
        <v>9686.1067232831683</v>
      </c>
      <c r="U8" s="94" t="s">
        <v>106</v>
      </c>
      <c r="V8" s="28" t="s">
        <v>21</v>
      </c>
      <c r="W8" s="32">
        <f>B6</f>
        <v>1</v>
      </c>
      <c r="X8" s="28" t="s">
        <v>138</v>
      </c>
      <c r="Y8" s="77" t="s">
        <v>83</v>
      </c>
      <c r="Z8" s="224">
        <f>Z3/Z42</f>
        <v>3834.4774314925144</v>
      </c>
      <c r="AA8" s="78" t="s">
        <v>106</v>
      </c>
      <c r="AB8" s="77" t="s">
        <v>83</v>
      </c>
      <c r="AC8" s="224">
        <f>AC3/AC42</f>
        <v>9686.1067232831683</v>
      </c>
      <c r="AD8" s="78" t="s">
        <v>106</v>
      </c>
      <c r="AE8" s="28" t="s">
        <v>21</v>
      </c>
      <c r="AF8" s="32">
        <f>B6</f>
        <v>1</v>
      </c>
      <c r="AG8" s="28" t="s">
        <v>138</v>
      </c>
      <c r="AH8" s="176" t="s">
        <v>83</v>
      </c>
      <c r="AI8" s="227">
        <f>AI3/AI42</f>
        <v>25563.182876616767</v>
      </c>
      <c r="AJ8" s="177" t="s">
        <v>106</v>
      </c>
      <c r="AK8" s="176" t="s">
        <v>83</v>
      </c>
      <c r="AL8" s="227">
        <f>AL3/AL42</f>
        <v>64574.044821887786</v>
      </c>
      <c r="AM8" s="177" t="s">
        <v>106</v>
      </c>
    </row>
    <row r="9" spans="1:39" s="1" customFormat="1" ht="19.5" x14ac:dyDescent="0.35">
      <c r="A9" s="38" t="s">
        <v>210</v>
      </c>
      <c r="B9" s="333">
        <v>0</v>
      </c>
      <c r="C9" s="38" t="s">
        <v>11</v>
      </c>
      <c r="D9" s="54" t="s">
        <v>206</v>
      </c>
      <c r="E9" s="32">
        <f>E38</f>
        <v>1</v>
      </c>
      <c r="F9" s="28"/>
      <c r="G9" s="85" t="s">
        <v>84</v>
      </c>
      <c r="H9" s="233">
        <f>H4/H42</f>
        <v>3782.463642067758</v>
      </c>
      <c r="I9" s="86" t="s">
        <v>105</v>
      </c>
      <c r="J9" s="85" t="s">
        <v>84</v>
      </c>
      <c r="K9" s="233">
        <f>K4/K42</f>
        <v>6805.9499962708069</v>
      </c>
      <c r="L9" s="86" t="s">
        <v>105</v>
      </c>
      <c r="M9" s="54" t="s">
        <v>207</v>
      </c>
      <c r="N9" s="32">
        <f>N30</f>
        <v>1</v>
      </c>
      <c r="O9" s="28"/>
      <c r="P9" s="93" t="s">
        <v>84</v>
      </c>
      <c r="Q9" s="230">
        <f>Q4/Q42</f>
        <v>3782.463642067758</v>
      </c>
      <c r="R9" s="94" t="s">
        <v>105</v>
      </c>
      <c r="S9" s="93" t="s">
        <v>84</v>
      </c>
      <c r="T9" s="230">
        <f>T4/T42</f>
        <v>6805.9499962708078</v>
      </c>
      <c r="U9" s="94" t="s">
        <v>105</v>
      </c>
      <c r="V9" s="54" t="s">
        <v>208</v>
      </c>
      <c r="W9" s="32">
        <f>W30</f>
        <v>1</v>
      </c>
      <c r="X9" s="28"/>
      <c r="Y9" s="77" t="s">
        <v>84</v>
      </c>
      <c r="Z9" s="224">
        <f>Z4/Z42</f>
        <v>3782.463642067758</v>
      </c>
      <c r="AA9" s="78" t="s">
        <v>105</v>
      </c>
      <c r="AB9" s="77" t="s">
        <v>84</v>
      </c>
      <c r="AC9" s="224">
        <f>AC4/AC42</f>
        <v>6805.9499962708078</v>
      </c>
      <c r="AD9" s="78" t="s">
        <v>105</v>
      </c>
      <c r="AE9" s="54" t="s">
        <v>140</v>
      </c>
      <c r="AF9" s="32">
        <f>AF30</f>
        <v>1</v>
      </c>
      <c r="AG9" s="28"/>
      <c r="AH9" s="176" t="s">
        <v>84</v>
      </c>
      <c r="AI9" s="227">
        <f>AI4/AI42</f>
        <v>25216.424280451723</v>
      </c>
      <c r="AJ9" s="177" t="s">
        <v>105</v>
      </c>
      <c r="AK9" s="176" t="s">
        <v>84</v>
      </c>
      <c r="AL9" s="227">
        <f>AL4/AL42</f>
        <v>45372.999975138715</v>
      </c>
      <c r="AM9" s="177" t="s">
        <v>105</v>
      </c>
    </row>
    <row r="10" spans="1:39" s="1" customFormat="1" ht="14.25" x14ac:dyDescent="0.2">
      <c r="A10" s="57" t="s">
        <v>113</v>
      </c>
      <c r="B10" s="334">
        <v>2.1295200000000002E-3</v>
      </c>
      <c r="C10" s="38" t="s">
        <v>198</v>
      </c>
      <c r="D10" s="54" t="s">
        <v>65</v>
      </c>
      <c r="E10" s="32">
        <f>B33</f>
        <v>0.38</v>
      </c>
      <c r="F10" s="28"/>
      <c r="G10" s="85" t="s">
        <v>85</v>
      </c>
      <c r="H10" s="233">
        <f>H5/H42</f>
        <v>1326.3914108885451</v>
      </c>
      <c r="I10" s="86" t="s">
        <v>105</v>
      </c>
      <c r="J10" s="85" t="s">
        <v>85</v>
      </c>
      <c r="K10" s="233">
        <f>K5/K42</f>
        <v>2146.0532451578492</v>
      </c>
      <c r="L10" s="86" t="s">
        <v>105</v>
      </c>
      <c r="M10" s="54" t="s">
        <v>65</v>
      </c>
      <c r="N10" s="32">
        <f>B33</f>
        <v>0.38</v>
      </c>
      <c r="O10" s="28"/>
      <c r="P10" s="93" t="s">
        <v>85</v>
      </c>
      <c r="Q10" s="230">
        <f>Q5/Q42</f>
        <v>1326.3914108885451</v>
      </c>
      <c r="R10" s="94" t="s">
        <v>105</v>
      </c>
      <c r="S10" s="93" t="s">
        <v>85</v>
      </c>
      <c r="T10" s="230">
        <f>T5/T42</f>
        <v>2146.0532451578501</v>
      </c>
      <c r="U10" s="94" t="s">
        <v>105</v>
      </c>
      <c r="V10" s="54" t="s">
        <v>65</v>
      </c>
      <c r="W10" s="32">
        <f>B33</f>
        <v>0.38</v>
      </c>
      <c r="X10" s="28"/>
      <c r="Y10" s="77" t="s">
        <v>85</v>
      </c>
      <c r="Z10" s="224">
        <f>Z5/Z42</f>
        <v>1326.3914108885451</v>
      </c>
      <c r="AA10" s="78" t="s">
        <v>105</v>
      </c>
      <c r="AB10" s="77" t="s">
        <v>85</v>
      </c>
      <c r="AC10" s="224">
        <f>AC5/AC42</f>
        <v>2146.0532451578501</v>
      </c>
      <c r="AD10" s="78" t="s">
        <v>105</v>
      </c>
      <c r="AE10" s="54" t="s">
        <v>65</v>
      </c>
      <c r="AF10" s="32">
        <f>B33</f>
        <v>0.38</v>
      </c>
      <c r="AG10" s="28"/>
      <c r="AH10" s="176" t="s">
        <v>85</v>
      </c>
      <c r="AI10" s="227">
        <f>AI5/AI42</f>
        <v>8842.6094059236329</v>
      </c>
      <c r="AJ10" s="177" t="s">
        <v>105</v>
      </c>
      <c r="AK10" s="176" t="s">
        <v>85</v>
      </c>
      <c r="AL10" s="227">
        <f>AL5/AL42</f>
        <v>14307.021634385666</v>
      </c>
      <c r="AM10" s="177" t="s">
        <v>105</v>
      </c>
    </row>
    <row r="11" spans="1:39" s="1" customFormat="1" ht="15" thickBot="1" x14ac:dyDescent="0.25">
      <c r="A11" s="57" t="s">
        <v>23</v>
      </c>
      <c r="B11" s="333">
        <v>4.3486799999999998E-4</v>
      </c>
      <c r="C11" s="38" t="s">
        <v>199</v>
      </c>
      <c r="D11" s="54" t="s">
        <v>1</v>
      </c>
      <c r="E11" s="51">
        <f>0.693/E13</f>
        <v>66.155354824913829</v>
      </c>
      <c r="F11" s="54"/>
      <c r="G11" s="87" t="s">
        <v>86</v>
      </c>
      <c r="H11" s="234">
        <f>H6/H42</f>
        <v>858.32828800768357</v>
      </c>
      <c r="I11" s="86" t="s">
        <v>105</v>
      </c>
      <c r="J11" s="87" t="s">
        <v>86</v>
      </c>
      <c r="K11" s="234">
        <f>K6/K42</f>
        <v>1431.4790239594097</v>
      </c>
      <c r="L11" s="86" t="s">
        <v>105</v>
      </c>
      <c r="M11" s="54" t="s">
        <v>1</v>
      </c>
      <c r="N11" s="51">
        <f>0.693/N13</f>
        <v>66.155354824913829</v>
      </c>
      <c r="O11" s="28"/>
      <c r="P11" s="95" t="s">
        <v>86</v>
      </c>
      <c r="Q11" s="231">
        <f>Q6/Q42</f>
        <v>858.3282880076838</v>
      </c>
      <c r="R11" s="94" t="s">
        <v>105</v>
      </c>
      <c r="S11" s="95" t="s">
        <v>86</v>
      </c>
      <c r="T11" s="231">
        <f>T6/T42</f>
        <v>1431.4790239594097</v>
      </c>
      <c r="U11" s="94" t="s">
        <v>105</v>
      </c>
      <c r="V11" s="54" t="s">
        <v>1</v>
      </c>
      <c r="W11" s="51">
        <f>0.693/W13</f>
        <v>66.155354824913829</v>
      </c>
      <c r="X11" s="54"/>
      <c r="Y11" s="79" t="s">
        <v>86</v>
      </c>
      <c r="Z11" s="225">
        <f>Z6/Z42</f>
        <v>858.3282880076838</v>
      </c>
      <c r="AA11" s="78" t="s">
        <v>105</v>
      </c>
      <c r="AB11" s="79" t="s">
        <v>86</v>
      </c>
      <c r="AC11" s="225">
        <f>AC6/AC42</f>
        <v>1431.4790239594097</v>
      </c>
      <c r="AD11" s="78" t="s">
        <v>105</v>
      </c>
      <c r="AE11" s="54" t="s">
        <v>1</v>
      </c>
      <c r="AF11" s="51">
        <f>0.693/AF13</f>
        <v>66.155354824913829</v>
      </c>
      <c r="AG11" s="54"/>
      <c r="AH11" s="178" t="s">
        <v>86</v>
      </c>
      <c r="AI11" s="228">
        <f>AI6/AI42</f>
        <v>5722.1885867178908</v>
      </c>
      <c r="AJ11" s="177" t="s">
        <v>105</v>
      </c>
      <c r="AK11" s="178" t="s">
        <v>86</v>
      </c>
      <c r="AL11" s="228">
        <f>AL6/AL42</f>
        <v>9543.1934930627303</v>
      </c>
      <c r="AM11" s="177" t="s">
        <v>105</v>
      </c>
    </row>
    <row r="12" spans="1:39" s="1" customFormat="1" ht="14.25" x14ac:dyDescent="0.2">
      <c r="A12" s="57" t="s">
        <v>114</v>
      </c>
      <c r="B12" s="333">
        <v>4.4084799999999998E-4</v>
      </c>
      <c r="C12" s="38" t="s">
        <v>198</v>
      </c>
      <c r="D12" s="28" t="s">
        <v>126</v>
      </c>
      <c r="E12" s="51">
        <f>(1-EXP(-E11*E9))</f>
        <v>1</v>
      </c>
      <c r="F12" s="28"/>
      <c r="G12" s="84" t="s">
        <v>82</v>
      </c>
      <c r="H12" s="232">
        <f>H2*H21*H43*H44</f>
        <v>1.3781415012279056E-7</v>
      </c>
      <c r="I12" s="88" t="s">
        <v>107</v>
      </c>
      <c r="J12" s="84" t="s">
        <v>82</v>
      </c>
      <c r="K12" s="232">
        <f>K2*K21*K43*K44</f>
        <v>2.1319123686363482E-7</v>
      </c>
      <c r="L12" s="88" t="s">
        <v>107</v>
      </c>
      <c r="M12" s="28" t="s">
        <v>126</v>
      </c>
      <c r="N12" s="51">
        <f>(1-EXP(-N11*N9))</f>
        <v>1</v>
      </c>
      <c r="O12" s="28"/>
      <c r="P12" s="91" t="s">
        <v>82</v>
      </c>
      <c r="Q12" s="229">
        <f>Q2*Q21*Q43*Q44</f>
        <v>1.3781415012279054E-7</v>
      </c>
      <c r="R12" s="97" t="s">
        <v>107</v>
      </c>
      <c r="S12" s="91" t="s">
        <v>82</v>
      </c>
      <c r="T12" s="229">
        <f>T2*T21*T43*T44</f>
        <v>2.1319123686363482E-7</v>
      </c>
      <c r="U12" s="97" t="s">
        <v>107</v>
      </c>
      <c r="V12" s="28" t="s">
        <v>126</v>
      </c>
      <c r="W12" s="51">
        <f>(1-EXP(-W11*W9))</f>
        <v>1</v>
      </c>
      <c r="X12" s="28"/>
      <c r="Y12" s="75" t="s">
        <v>82</v>
      </c>
      <c r="Z12" s="223">
        <f>Z2*Z21*Z43*Z44</f>
        <v>1.3781415012279054E-7</v>
      </c>
      <c r="AA12" s="81" t="s">
        <v>107</v>
      </c>
      <c r="AB12" s="75" t="s">
        <v>82</v>
      </c>
      <c r="AC12" s="223">
        <f>AC2*AC21*AC43*AC44</f>
        <v>2.1319123686363482E-7</v>
      </c>
      <c r="AD12" s="81" t="s">
        <v>107</v>
      </c>
      <c r="AE12" s="28" t="s">
        <v>126</v>
      </c>
      <c r="AF12" s="51">
        <f>(1-EXP(-AF11*AF9))</f>
        <v>1</v>
      </c>
      <c r="AG12" s="28"/>
      <c r="AH12" s="175" t="s">
        <v>82</v>
      </c>
      <c r="AI12" s="226">
        <f>AI2*AI21*AI43*AI44</f>
        <v>9.1876100081860364E-7</v>
      </c>
      <c r="AJ12" s="180" t="s">
        <v>107</v>
      </c>
      <c r="AK12" s="175" t="s">
        <v>82</v>
      </c>
      <c r="AL12" s="226">
        <f>AL2*AL21*AL43*AL44</f>
        <v>1.4212749124242321E-6</v>
      </c>
      <c r="AM12" s="180" t="s">
        <v>107</v>
      </c>
    </row>
    <row r="13" spans="1:39" s="1" customFormat="1" ht="14.25" x14ac:dyDescent="0.2">
      <c r="A13" s="57" t="s">
        <v>115</v>
      </c>
      <c r="B13" s="333">
        <v>1.2571640000000001E-3</v>
      </c>
      <c r="C13" s="38" t="s">
        <v>198</v>
      </c>
      <c r="D13" s="33" t="s">
        <v>9</v>
      </c>
      <c r="E13" s="53">
        <f>B16</f>
        <v>1.04753425E-2</v>
      </c>
      <c r="F13" s="54" t="s">
        <v>10</v>
      </c>
      <c r="G13" s="85" t="s">
        <v>83</v>
      </c>
      <c r="H13" s="233">
        <f>H3*H21*H43*H45</f>
        <v>6.7486683078424954E-10</v>
      </c>
      <c r="I13" s="86" t="s">
        <v>110</v>
      </c>
      <c r="J13" s="85" t="s">
        <v>83</v>
      </c>
      <c r="K13" s="233">
        <f>K3*K21*K43*K45</f>
        <v>1.7047517592079701E-9</v>
      </c>
      <c r="L13" s="86" t="s">
        <v>110</v>
      </c>
      <c r="M13" s="33" t="s">
        <v>9</v>
      </c>
      <c r="N13" s="53">
        <f>B16</f>
        <v>1.04753425E-2</v>
      </c>
      <c r="O13" s="28"/>
      <c r="P13" s="93" t="s">
        <v>83</v>
      </c>
      <c r="Q13" s="230">
        <f>Q3*Q21*Q43*Q45</f>
        <v>6.7486683078424943E-10</v>
      </c>
      <c r="R13" s="94" t="s">
        <v>110</v>
      </c>
      <c r="S13" s="93" t="s">
        <v>83</v>
      </c>
      <c r="T13" s="230">
        <f>T3*T21*T43*T45</f>
        <v>1.7047517592079701E-9</v>
      </c>
      <c r="U13" s="94" t="s">
        <v>110</v>
      </c>
      <c r="V13" s="33" t="s">
        <v>9</v>
      </c>
      <c r="W13" s="53">
        <f>B16</f>
        <v>1.04753425E-2</v>
      </c>
      <c r="X13" s="54"/>
      <c r="Y13" s="77" t="s">
        <v>83</v>
      </c>
      <c r="Z13" s="224">
        <f>Z3*Z21*Z43*Z45</f>
        <v>6.7486683078424943E-10</v>
      </c>
      <c r="AA13" s="78" t="s">
        <v>110</v>
      </c>
      <c r="AB13" s="77" t="s">
        <v>83</v>
      </c>
      <c r="AC13" s="224">
        <f>AC3*AC21*AC43*AC45</f>
        <v>1.7047517592079701E-9</v>
      </c>
      <c r="AD13" s="78" t="s">
        <v>110</v>
      </c>
      <c r="AE13" s="33" t="s">
        <v>9</v>
      </c>
      <c r="AF13" s="53">
        <f>B16</f>
        <v>1.04753425E-2</v>
      </c>
      <c r="AG13" s="54"/>
      <c r="AH13" s="176" t="s">
        <v>83</v>
      </c>
      <c r="AI13" s="227">
        <f>AI3*AI21*AI43*AI45</f>
        <v>4.4991122052283295E-9</v>
      </c>
      <c r="AJ13" s="177" t="s">
        <v>110</v>
      </c>
      <c r="AK13" s="176" t="s">
        <v>83</v>
      </c>
      <c r="AL13" s="227">
        <f>AL3*AL21*AL43*AL45</f>
        <v>1.1365011728053132E-8</v>
      </c>
      <c r="AM13" s="177" t="s">
        <v>110</v>
      </c>
    </row>
    <row r="14" spans="1:39" s="1" customFormat="1" ht="14.25" x14ac:dyDescent="0.2">
      <c r="A14" s="57" t="s">
        <v>116</v>
      </c>
      <c r="B14" s="333">
        <v>1.94272E-3</v>
      </c>
      <c r="C14" s="38" t="s">
        <v>198</v>
      </c>
      <c r="D14" s="38" t="s">
        <v>209</v>
      </c>
      <c r="E14" s="53">
        <f>B8</f>
        <v>3.3799999999999998E-8</v>
      </c>
      <c r="F14" s="54" t="s">
        <v>11</v>
      </c>
      <c r="G14" s="85" t="s">
        <v>84</v>
      </c>
      <c r="H14" s="233">
        <f>H4*H21*H43*H44</f>
        <v>6.6571242008466633E-7</v>
      </c>
      <c r="I14" s="89" t="s">
        <v>107</v>
      </c>
      <c r="J14" s="85" t="s">
        <v>84</v>
      </c>
      <c r="K14" s="233">
        <f>K4*K21*K43*K44</f>
        <v>1.1978450744646975E-6</v>
      </c>
      <c r="L14" s="89" t="s">
        <v>107</v>
      </c>
      <c r="M14" s="38" t="s">
        <v>210</v>
      </c>
      <c r="N14" s="53">
        <f>B9</f>
        <v>0</v>
      </c>
      <c r="O14" s="28" t="s">
        <v>11</v>
      </c>
      <c r="P14" s="93" t="s">
        <v>84</v>
      </c>
      <c r="Q14" s="230">
        <f>Q4*Q21*Q43*Q44</f>
        <v>6.6571242008466633E-7</v>
      </c>
      <c r="R14" s="98" t="s">
        <v>107</v>
      </c>
      <c r="S14" s="93" t="s">
        <v>84</v>
      </c>
      <c r="T14" s="230">
        <f>T4*T21*T43*T44</f>
        <v>1.1978450744646975E-6</v>
      </c>
      <c r="U14" s="98" t="s">
        <v>107</v>
      </c>
      <c r="V14" s="38" t="s">
        <v>210</v>
      </c>
      <c r="W14" s="53">
        <f>B9</f>
        <v>0</v>
      </c>
      <c r="X14" s="54" t="s">
        <v>11</v>
      </c>
      <c r="Y14" s="77" t="s">
        <v>84</v>
      </c>
      <c r="Z14" s="224">
        <f>Z4*Z21*Z43*Z44</f>
        <v>6.6571242008466633E-7</v>
      </c>
      <c r="AA14" s="82" t="s">
        <v>107</v>
      </c>
      <c r="AB14" s="77" t="s">
        <v>84</v>
      </c>
      <c r="AC14" s="224">
        <f>AC4*AC21*AC43*AC44</f>
        <v>1.1978450744646975E-6</v>
      </c>
      <c r="AD14" s="82" t="s">
        <v>107</v>
      </c>
      <c r="AE14" s="38" t="s">
        <v>210</v>
      </c>
      <c r="AF14" s="53">
        <f>B9</f>
        <v>0</v>
      </c>
      <c r="AG14" s="54" t="s">
        <v>11</v>
      </c>
      <c r="AH14" s="176" t="s">
        <v>84</v>
      </c>
      <c r="AI14" s="227">
        <f>AI4*AI21*AI43*AI44</f>
        <v>4.4380828005644418E-6</v>
      </c>
      <c r="AJ14" s="181" t="s">
        <v>107</v>
      </c>
      <c r="AK14" s="176" t="s">
        <v>84</v>
      </c>
      <c r="AL14" s="227">
        <f>AL4*AL21*AL43*AL44</f>
        <v>7.9856338297646514E-6</v>
      </c>
      <c r="AM14" s="181" t="s">
        <v>107</v>
      </c>
    </row>
    <row r="15" spans="1:39" s="1" customFormat="1" ht="14.25" x14ac:dyDescent="0.2">
      <c r="A15" s="57" t="s">
        <v>117</v>
      </c>
      <c r="B15" s="333">
        <v>3.2316400000000001</v>
      </c>
      <c r="C15" s="38" t="s">
        <v>200</v>
      </c>
      <c r="D15" s="54" t="s">
        <v>22</v>
      </c>
      <c r="E15" s="53">
        <f>B7</f>
        <v>1.25E-4</v>
      </c>
      <c r="F15" s="54" t="s">
        <v>201</v>
      </c>
      <c r="G15" s="85" t="s">
        <v>85</v>
      </c>
      <c r="H15" s="233">
        <f>H5*H21*H43*H44</f>
        <v>2.3344447420502415E-7</v>
      </c>
      <c r="I15" s="89" t="s">
        <v>107</v>
      </c>
      <c r="J15" s="85" t="s">
        <v>85</v>
      </c>
      <c r="K15" s="233">
        <f>K5*K21*K43*K44</f>
        <v>3.7770470113060529E-7</v>
      </c>
      <c r="L15" s="89" t="s">
        <v>107</v>
      </c>
      <c r="M15" s="54" t="s">
        <v>22</v>
      </c>
      <c r="N15" s="53">
        <f>B7</f>
        <v>1.25E-4</v>
      </c>
      <c r="O15" s="28" t="s">
        <v>201</v>
      </c>
      <c r="P15" s="93" t="s">
        <v>85</v>
      </c>
      <c r="Q15" s="230">
        <f>Q5*Q21*Q43*Q44</f>
        <v>2.3344447420502415E-7</v>
      </c>
      <c r="R15" s="98" t="s">
        <v>107</v>
      </c>
      <c r="S15" s="93" t="s">
        <v>85</v>
      </c>
      <c r="T15" s="230">
        <f>T5*T21*T43*T44</f>
        <v>3.7770470113060545E-7</v>
      </c>
      <c r="U15" s="98" t="s">
        <v>107</v>
      </c>
      <c r="V15" s="54" t="s">
        <v>22</v>
      </c>
      <c r="W15" s="53">
        <f>B7</f>
        <v>1.25E-4</v>
      </c>
      <c r="X15" s="54" t="s">
        <v>201</v>
      </c>
      <c r="Y15" s="77" t="s">
        <v>85</v>
      </c>
      <c r="Z15" s="224">
        <f>Z5*Z21*Z43*Z44</f>
        <v>2.3344447420502415E-7</v>
      </c>
      <c r="AA15" s="82" t="s">
        <v>107</v>
      </c>
      <c r="AB15" s="77" t="s">
        <v>85</v>
      </c>
      <c r="AC15" s="224">
        <f>AC5*AC21*AC43*AC44</f>
        <v>3.7770470113060545E-7</v>
      </c>
      <c r="AD15" s="82" t="s">
        <v>107</v>
      </c>
      <c r="AE15" s="54" t="s">
        <v>22</v>
      </c>
      <c r="AF15" s="53">
        <f>B7</f>
        <v>1.25E-4</v>
      </c>
      <c r="AG15" s="54" t="s">
        <v>201</v>
      </c>
      <c r="AH15" s="176" t="s">
        <v>85</v>
      </c>
      <c r="AI15" s="227">
        <f>AI5*AI21*AI43*AI44</f>
        <v>1.5562964947001608E-6</v>
      </c>
      <c r="AJ15" s="181" t="s">
        <v>107</v>
      </c>
      <c r="AK15" s="176" t="s">
        <v>85</v>
      </c>
      <c r="AL15" s="227">
        <f>AL5*AL21*AL43*AL44</f>
        <v>2.5180313408707029E-6</v>
      </c>
      <c r="AM15" s="181" t="s">
        <v>107</v>
      </c>
    </row>
    <row r="16" spans="1:39" s="1" customFormat="1" ht="15" thickBot="1" x14ac:dyDescent="0.25">
      <c r="A16" s="59" t="s">
        <v>9</v>
      </c>
      <c r="B16" s="333">
        <v>1.04753425E-2</v>
      </c>
      <c r="C16" s="39" t="s">
        <v>118</v>
      </c>
      <c r="D16" s="54" t="s">
        <v>23</v>
      </c>
      <c r="E16" s="53">
        <f>B11</f>
        <v>4.3486799999999998E-4</v>
      </c>
      <c r="F16" s="54" t="s">
        <v>198</v>
      </c>
      <c r="G16" s="87" t="s">
        <v>86</v>
      </c>
      <c r="H16" s="234">
        <f>H6*H21*H43*H44</f>
        <v>1.5106551071152044E-7</v>
      </c>
      <c r="I16" s="90" t="s">
        <v>107</v>
      </c>
      <c r="J16" s="87" t="s">
        <v>86</v>
      </c>
      <c r="K16" s="234">
        <f>K6*K21*K43*K44</f>
        <v>2.5193986129619577E-7</v>
      </c>
      <c r="L16" s="90" t="s">
        <v>107</v>
      </c>
      <c r="M16" s="54" t="s">
        <v>23</v>
      </c>
      <c r="N16" s="53">
        <f>B11</f>
        <v>4.3486799999999998E-4</v>
      </c>
      <c r="O16" s="28" t="s">
        <v>201</v>
      </c>
      <c r="P16" s="95" t="s">
        <v>86</v>
      </c>
      <c r="Q16" s="231">
        <f>Q6*Q21*Q43*Q44</f>
        <v>1.5106551071152044E-7</v>
      </c>
      <c r="R16" s="99" t="s">
        <v>107</v>
      </c>
      <c r="S16" s="95" t="s">
        <v>86</v>
      </c>
      <c r="T16" s="231">
        <f>T6*T21*T43*T44</f>
        <v>2.5193986129619577E-7</v>
      </c>
      <c r="U16" s="99" t="s">
        <v>107</v>
      </c>
      <c r="V16" s="54" t="s">
        <v>23</v>
      </c>
      <c r="W16" s="53">
        <f>B11</f>
        <v>4.3486799999999998E-4</v>
      </c>
      <c r="X16" s="54" t="s">
        <v>201</v>
      </c>
      <c r="Y16" s="79" t="s">
        <v>86</v>
      </c>
      <c r="Z16" s="225">
        <f>Z6*Z21*Z43*Z44</f>
        <v>1.5106551071152044E-7</v>
      </c>
      <c r="AA16" s="83" t="s">
        <v>107</v>
      </c>
      <c r="AB16" s="79" t="s">
        <v>86</v>
      </c>
      <c r="AC16" s="225">
        <f>AC6*AC21*AC43*AC44</f>
        <v>2.5193986129619577E-7</v>
      </c>
      <c r="AD16" s="83" t="s">
        <v>107</v>
      </c>
      <c r="AE16" s="54" t="s">
        <v>23</v>
      </c>
      <c r="AF16" s="53">
        <f>B11</f>
        <v>4.3486799999999998E-4</v>
      </c>
      <c r="AG16" s="54" t="s">
        <v>201</v>
      </c>
      <c r="AH16" s="178" t="s">
        <v>86</v>
      </c>
      <c r="AI16" s="228">
        <f>AI6*AI21*AI43*AI44</f>
        <v>1.0071034047434695E-6</v>
      </c>
      <c r="AJ16" s="182" t="s">
        <v>107</v>
      </c>
      <c r="AK16" s="178" t="s">
        <v>86</v>
      </c>
      <c r="AL16" s="228">
        <f>AL6*AL21*AL43*AL44</f>
        <v>1.679599075307972E-6</v>
      </c>
      <c r="AM16" s="182" t="s">
        <v>107</v>
      </c>
    </row>
    <row r="17" spans="1:39" s="1" customFormat="1" ht="14.25" x14ac:dyDescent="0.2">
      <c r="A17" s="38" t="s">
        <v>141</v>
      </c>
      <c r="B17" s="328">
        <v>0.75568181818181801</v>
      </c>
      <c r="C17" s="40"/>
      <c r="D17" s="28" t="s">
        <v>92</v>
      </c>
      <c r="E17" s="47">
        <f>(E8*E9*E11)/(((1-EXP(-E10*E9))/(E10*E9))*E12*E14*E22)</f>
        <v>25518.368584788404</v>
      </c>
      <c r="F17" s="28" t="s">
        <v>94</v>
      </c>
      <c r="G17" t="s">
        <v>21</v>
      </c>
      <c r="H17" s="220">
        <f>B6</f>
        <v>1</v>
      </c>
      <c r="I17"/>
      <c r="J17" t="s">
        <v>21</v>
      </c>
      <c r="K17" s="220">
        <f>B6</f>
        <v>1</v>
      </c>
      <c r="L17"/>
      <c r="M17" s="28" t="s">
        <v>92</v>
      </c>
      <c r="N17" s="47" t="e">
        <f>(N8*N9*N11)/(((1-EXP(-N10*N9))/(N10*N9))*N12*N14*N22*N28)</f>
        <v>#DIV/0!</v>
      </c>
      <c r="O17" s="28" t="s">
        <v>94</v>
      </c>
      <c r="P17" t="s">
        <v>21</v>
      </c>
      <c r="Q17" s="220">
        <f>B6</f>
        <v>1</v>
      </c>
      <c r="R17"/>
      <c r="S17" t="s">
        <v>21</v>
      </c>
      <c r="T17" s="220">
        <f>B6</f>
        <v>1</v>
      </c>
      <c r="U17"/>
      <c r="V17" s="28" t="s">
        <v>92</v>
      </c>
      <c r="W17" s="47" t="e">
        <f>(W8*W9*W11)/(((1-EXP(-W10*W9))/(W10*W9))*W12*W14*W22*W28)</f>
        <v>#DIV/0!</v>
      </c>
      <c r="X17" s="28" t="s">
        <v>94</v>
      </c>
      <c r="Y17" t="s">
        <v>21</v>
      </c>
      <c r="Z17" s="220">
        <f>B6</f>
        <v>1</v>
      </c>
      <c r="AA17"/>
      <c r="AB17" t="s">
        <v>21</v>
      </c>
      <c r="AC17" s="220">
        <f>B6</f>
        <v>1</v>
      </c>
      <c r="AD17"/>
      <c r="AE17" s="28" t="s">
        <v>92</v>
      </c>
      <c r="AF17" s="47" t="e">
        <f>(AF8*AF9*AF11)/(((1-EXP(-AF10*AF9))/(AF10*AF9))*AF12*AF14*AF22*AF28)</f>
        <v>#DIV/0!</v>
      </c>
      <c r="AG17" s="28" t="s">
        <v>94</v>
      </c>
      <c r="AH17" t="s">
        <v>21</v>
      </c>
      <c r="AI17" s="220">
        <f>B6</f>
        <v>1</v>
      </c>
      <c r="AJ17"/>
      <c r="AK17" t="s">
        <v>21</v>
      </c>
      <c r="AL17" s="220">
        <f>B6</f>
        <v>1</v>
      </c>
      <c r="AM17"/>
    </row>
    <row r="18" spans="1:39" s="1" customFormat="1" ht="19.5" x14ac:dyDescent="0.35">
      <c r="A18" s="38" t="s">
        <v>142</v>
      </c>
      <c r="B18" s="328">
        <v>0.46277665995975897</v>
      </c>
      <c r="C18" s="40"/>
      <c r="D18" s="28" t="s">
        <v>166</v>
      </c>
      <c r="E18" s="46">
        <f>(E8*E9*E11)/(((1-EXP(-E10*E9))/(E10*E9))*E12*E15*E23*(1/E48)*E47*(E41+E42)*(1/24))</f>
        <v>79.155339953828147</v>
      </c>
      <c r="F18" s="28" t="s">
        <v>94</v>
      </c>
      <c r="G18" s="54" t="s">
        <v>206</v>
      </c>
      <c r="H18" s="221">
        <f>H28</f>
        <v>1</v>
      </c>
      <c r="I18" t="s">
        <v>205</v>
      </c>
      <c r="J18" s="54" t="s">
        <v>206</v>
      </c>
      <c r="K18" s="221">
        <f>K28</f>
        <v>1</v>
      </c>
      <c r="L18" t="s">
        <v>205</v>
      </c>
      <c r="M18" s="28" t="s">
        <v>166</v>
      </c>
      <c r="N18" s="46">
        <f>(N8*N9*N11)/(((1-EXP(-N10*N9))/(N10*N9))*N12*N15*N29*N25*N28*(1/N38)*N37)</f>
        <v>12.239197870536533</v>
      </c>
      <c r="O18" s="28" t="s">
        <v>94</v>
      </c>
      <c r="P18" s="54" t="s">
        <v>207</v>
      </c>
      <c r="Q18" s="221">
        <f>Q28</f>
        <v>1</v>
      </c>
      <c r="R18" t="s">
        <v>205</v>
      </c>
      <c r="S18" s="54" t="s">
        <v>207</v>
      </c>
      <c r="T18" s="221">
        <f>T28</f>
        <v>1</v>
      </c>
      <c r="U18" t="s">
        <v>205</v>
      </c>
      <c r="V18" s="28" t="s">
        <v>166</v>
      </c>
      <c r="W18" s="46">
        <f>(W8*W9*W11)/(((1-EXP(-W10*W9))/(W10*W9))*W12*W15*W29*W25*W28*(1/W38)*W37)</f>
        <v>12.239197870536533</v>
      </c>
      <c r="X18" s="28" t="s">
        <v>94</v>
      </c>
      <c r="Y18" s="54" t="s">
        <v>208</v>
      </c>
      <c r="Z18" s="221">
        <f>Z28</f>
        <v>1</v>
      </c>
      <c r="AA18" t="s">
        <v>205</v>
      </c>
      <c r="AB18" s="54" t="s">
        <v>208</v>
      </c>
      <c r="AC18" s="221">
        <f>AC28</f>
        <v>1</v>
      </c>
      <c r="AD18" t="s">
        <v>205</v>
      </c>
      <c r="AE18" s="28" t="s">
        <v>166</v>
      </c>
      <c r="AF18" s="46">
        <f>(AF8*AF9*AF11)/(((1-EXP(-AF10*AF9))/(AF10*AF9))*AF12*AF15*AF29*AF25*AF28*(1/AF38)*AF37)</f>
        <v>0.77356380859432439</v>
      </c>
      <c r="AG18" s="28" t="s">
        <v>94</v>
      </c>
      <c r="AH18" s="54" t="s">
        <v>140</v>
      </c>
      <c r="AI18" s="221">
        <f>AI28</f>
        <v>1</v>
      </c>
      <c r="AJ18" t="s">
        <v>205</v>
      </c>
      <c r="AK18" s="54" t="s">
        <v>140</v>
      </c>
      <c r="AL18" s="221">
        <f>AL28</f>
        <v>1</v>
      </c>
      <c r="AM18" t="s">
        <v>205</v>
      </c>
    </row>
    <row r="19" spans="1:39" s="1" customFormat="1" ht="14.25" x14ac:dyDescent="0.2">
      <c r="A19" s="38" t="s">
        <v>143</v>
      </c>
      <c r="B19" s="328">
        <v>0.64968152866242002</v>
      </c>
      <c r="C19" s="40"/>
      <c r="D19" s="28" t="s">
        <v>165</v>
      </c>
      <c r="E19" s="46">
        <f>(E8*E9*E11)/(((1-EXP(-E10*E9))/(E10*E9))*E12*E15*E23*(1/E49)*E47*(E41+E42)*(1/24))</f>
        <v>2920.4946435148322</v>
      </c>
      <c r="F19" s="28" t="s">
        <v>94</v>
      </c>
      <c r="G19" s="29" t="s">
        <v>1</v>
      </c>
      <c r="H19" s="51">
        <f>0.693/H21</f>
        <v>66.155354824913829</v>
      </c>
      <c r="I19" s="29"/>
      <c r="J19" s="29" t="s">
        <v>1</v>
      </c>
      <c r="K19" s="51">
        <f>0.693/K21</f>
        <v>66.155354824913829</v>
      </c>
      <c r="L19"/>
      <c r="M19" s="28" t="s">
        <v>165</v>
      </c>
      <c r="N19" s="46">
        <f>(N8*N9*N11)/(((1-EXP(-N10*N9))/(N10*N9))*N12*N15*N29*N25*N28*(1/N39)*N37)</f>
        <v>947.70051182056284</v>
      </c>
      <c r="O19" s="28" t="s">
        <v>94</v>
      </c>
      <c r="P19" s="29" t="s">
        <v>1</v>
      </c>
      <c r="Q19" s="51">
        <f>0.693/Q21</f>
        <v>66.155354824913829</v>
      </c>
      <c r="R19" s="29"/>
      <c r="S19" s="29" t="s">
        <v>1</v>
      </c>
      <c r="T19" s="51">
        <f>0.693/T21</f>
        <v>66.155354824913829</v>
      </c>
      <c r="U19"/>
      <c r="V19" s="28" t="s">
        <v>165</v>
      </c>
      <c r="W19" s="46">
        <f>(W8*W9*W11)/(((1-EXP(-W10*W9))/(W10*W9))*W12*W15*W29*W25*W28*(1/W39)*W37)</f>
        <v>947.70051182056284</v>
      </c>
      <c r="X19" s="28" t="s">
        <v>94</v>
      </c>
      <c r="Y19" s="29" t="s">
        <v>1</v>
      </c>
      <c r="Z19" s="51">
        <f>0.693/Z21</f>
        <v>66.155354824913829</v>
      </c>
      <c r="AA19"/>
      <c r="AB19" s="29" t="s">
        <v>1</v>
      </c>
      <c r="AC19" s="51">
        <f>0.693/AC21</f>
        <v>66.155354824913829</v>
      </c>
      <c r="AD19" s="29"/>
      <c r="AE19" s="28" t="s">
        <v>165</v>
      </c>
      <c r="AF19" s="46">
        <f>(AF8*AF9*AF11)/(((1-EXP(-AF10*AF9))/(AF10*AF9))*AF12*AF15*AF29*AF25*AF28*(1/AF39)*AF37)</f>
        <v>947.70051182056284</v>
      </c>
      <c r="AG19" s="28" t="s">
        <v>94</v>
      </c>
      <c r="AH19" s="29" t="s">
        <v>1</v>
      </c>
      <c r="AI19" s="51">
        <f>0.693/AI21</f>
        <v>66.155354824913829</v>
      </c>
      <c r="AJ19" s="29"/>
      <c r="AK19" s="29" t="s">
        <v>1</v>
      </c>
      <c r="AL19" s="51">
        <f>0.693/AL21</f>
        <v>66.155354824913829</v>
      </c>
      <c r="AM19"/>
    </row>
    <row r="20" spans="1:39" s="1" customFormat="1" ht="14.25" x14ac:dyDescent="0.2">
      <c r="A20" s="38" t="s">
        <v>144</v>
      </c>
      <c r="B20" s="328">
        <v>0.72251308900523603</v>
      </c>
      <c r="C20"/>
      <c r="D20" s="28" t="s">
        <v>93</v>
      </c>
      <c r="E20" s="45">
        <f>(E8*E9*E11)/(((1-EXP(-E10*E9))/(E10*E9))*E12*E16*E39*E40*E28*(1/365)*E46*((E41*E44)+(E42*E45))*(1/24))</f>
        <v>629337.49193322461</v>
      </c>
      <c r="F20" s="28" t="s">
        <v>94</v>
      </c>
      <c r="G20" s="28" t="s">
        <v>126</v>
      </c>
      <c r="H20" s="51">
        <f>(1-EXP(-H19*H18))</f>
        <v>1</v>
      </c>
      <c r="I20"/>
      <c r="J20" s="28" t="s">
        <v>126</v>
      </c>
      <c r="K20" s="51">
        <f>(1-EXP(-K19*K18))</f>
        <v>1</v>
      </c>
      <c r="L20"/>
      <c r="M20" s="28" t="s">
        <v>93</v>
      </c>
      <c r="N20" s="45">
        <f>(N8*N9*N11)/(((1-EXP(-N10*N9))/(N10*N9))*N12*N16*N31*N32*N36*N28*(1/365)*N34*N25*(1/24))</f>
        <v>629337.49193322461</v>
      </c>
      <c r="O20" s="28" t="s">
        <v>94</v>
      </c>
      <c r="P20" s="28" t="s">
        <v>126</v>
      </c>
      <c r="Q20" s="51">
        <f>(1-EXP(-Q19*Q18))</f>
        <v>1</v>
      </c>
      <c r="R20"/>
      <c r="S20" s="28" t="s">
        <v>126</v>
      </c>
      <c r="T20" s="51">
        <f>(1-EXP(-T19*T18))</f>
        <v>1</v>
      </c>
      <c r="U20"/>
      <c r="V20" s="28" t="s">
        <v>93</v>
      </c>
      <c r="W20" s="45">
        <f>(W8*W9*W11)/(((1-EXP(-W10*W9))/(W10*W9))*W12*W16*W31*W32*W36*W28*(1/365)*W34*W25*(1/24))</f>
        <v>629337.49193322461</v>
      </c>
      <c r="X20" s="28" t="s">
        <v>94</v>
      </c>
      <c r="Y20" s="28" t="s">
        <v>126</v>
      </c>
      <c r="Z20" s="51">
        <f>(1-EXP(-Z19*Z18))</f>
        <v>1</v>
      </c>
      <c r="AA20"/>
      <c r="AB20" s="28" t="s">
        <v>126</v>
      </c>
      <c r="AC20" s="51">
        <f>(1-EXP(-AC19*AC18))</f>
        <v>1</v>
      </c>
      <c r="AD20"/>
      <c r="AE20" s="28" t="s">
        <v>93</v>
      </c>
      <c r="AF20" s="45">
        <f>(AF8*AF9*AF11)/(((1-EXP(-AF10*AF9))/(AF10*AF9))*AF12*AF16*AF35*AF31*AF32*AF36*AF25*(1/24)*AF28*(1/365))</f>
        <v>4195583.2795548309</v>
      </c>
      <c r="AG20" s="28" t="s">
        <v>94</v>
      </c>
      <c r="AH20" s="28" t="s">
        <v>126</v>
      </c>
      <c r="AI20" s="51">
        <f>(1-EXP(-AI19*AI18))</f>
        <v>1</v>
      </c>
      <c r="AJ20"/>
      <c r="AK20" s="28" t="s">
        <v>126</v>
      </c>
      <c r="AL20" s="51">
        <f>(1-EXP(-AL19*AL18))</f>
        <v>1</v>
      </c>
      <c r="AM20"/>
    </row>
    <row r="21" spans="1:39" s="1" customFormat="1" ht="14.25" x14ac:dyDescent="0.2">
      <c r="A21" s="38" t="s">
        <v>145</v>
      </c>
      <c r="B21" s="328">
        <v>0.70094339622641499</v>
      </c>
      <c r="C21"/>
      <c r="D21" s="28"/>
      <c r="E21" s="32"/>
      <c r="F21" s="28"/>
      <c r="G21" s="56" t="s">
        <v>9</v>
      </c>
      <c r="H21" s="53">
        <f>B16</f>
        <v>1.04753425E-2</v>
      </c>
      <c r="I21" s="2" t="s">
        <v>10</v>
      </c>
      <c r="J21" s="56" t="s">
        <v>9</v>
      </c>
      <c r="K21" s="43">
        <f>B16</f>
        <v>1.04753425E-2</v>
      </c>
      <c r="L21" s="1" t="s">
        <v>10</v>
      </c>
      <c r="M21" s="28"/>
      <c r="N21" s="32"/>
      <c r="O21" s="28"/>
      <c r="P21" s="56" t="s">
        <v>9</v>
      </c>
      <c r="Q21" s="53">
        <f>B16</f>
        <v>1.04753425E-2</v>
      </c>
      <c r="R21" s="2" t="s">
        <v>10</v>
      </c>
      <c r="S21" s="56" t="s">
        <v>9</v>
      </c>
      <c r="T21" s="43">
        <f>B16</f>
        <v>1.04753425E-2</v>
      </c>
      <c r="U21" s="1" t="s">
        <v>10</v>
      </c>
      <c r="V21" s="28"/>
      <c r="W21" s="28"/>
      <c r="X21" s="28"/>
      <c r="Y21" s="56" t="s">
        <v>9</v>
      </c>
      <c r="Z21" s="43">
        <f>B16</f>
        <v>1.04753425E-2</v>
      </c>
      <c r="AA21" s="1" t="s">
        <v>10</v>
      </c>
      <c r="AB21" s="56" t="s">
        <v>9</v>
      </c>
      <c r="AC21" s="53">
        <f>B16</f>
        <v>1.04753425E-2</v>
      </c>
      <c r="AD21" s="2" t="s">
        <v>10</v>
      </c>
      <c r="AE21" s="28"/>
      <c r="AF21" s="32"/>
      <c r="AG21" s="28"/>
      <c r="AH21" s="56" t="s">
        <v>9</v>
      </c>
      <c r="AI21" s="53">
        <f>B16</f>
        <v>1.04753425E-2</v>
      </c>
      <c r="AJ21" s="2" t="s">
        <v>10</v>
      </c>
      <c r="AK21" s="56" t="s">
        <v>9</v>
      </c>
      <c r="AL21" s="43">
        <f>B16</f>
        <v>1.04753425E-2</v>
      </c>
      <c r="AM21" s="1" t="s">
        <v>10</v>
      </c>
    </row>
    <row r="22" spans="1:39" s="1" customFormat="1" ht="14.25" x14ac:dyDescent="0.2">
      <c r="A22" s="58" t="s">
        <v>102</v>
      </c>
      <c r="B22" s="209">
        <v>222.01757699999999</v>
      </c>
      <c r="C22" s="40" t="s">
        <v>103</v>
      </c>
      <c r="D22" s="60" t="s">
        <v>220</v>
      </c>
      <c r="E22" s="61">
        <f>(E24*E27*E29*E25*E31*E33*E35)+(E24*E26*E28*E25*E30*E32*E34)</f>
        <v>92193.75</v>
      </c>
      <c r="F22" s="62" t="s">
        <v>24</v>
      </c>
      <c r="G22" s="38" t="s">
        <v>113</v>
      </c>
      <c r="H22" s="220">
        <f>B10</f>
        <v>2.1295200000000002E-3</v>
      </c>
      <c r="I22" s="38" t="s">
        <v>198</v>
      </c>
      <c r="J22" s="38" t="s">
        <v>113</v>
      </c>
      <c r="K22" s="220">
        <f>B10</f>
        <v>2.1295200000000002E-3</v>
      </c>
      <c r="L22" s="38" t="s">
        <v>198</v>
      </c>
      <c r="M22" s="60" t="s">
        <v>217</v>
      </c>
      <c r="N22" s="71">
        <f>N23*N25*N24*N26*N27</f>
        <v>773.4375</v>
      </c>
      <c r="O22" s="62" t="s">
        <v>24</v>
      </c>
      <c r="P22" s="38" t="s">
        <v>113</v>
      </c>
      <c r="Q22" s="220">
        <f>B10</f>
        <v>2.1295200000000002E-3</v>
      </c>
      <c r="R22" s="38" t="s">
        <v>198</v>
      </c>
      <c r="S22" s="38" t="s">
        <v>113</v>
      </c>
      <c r="T22" s="220">
        <f>B10</f>
        <v>2.1295200000000002E-3</v>
      </c>
      <c r="U22" s="38" t="s">
        <v>198</v>
      </c>
      <c r="V22" s="60" t="s">
        <v>218</v>
      </c>
      <c r="W22" s="71">
        <f>W23*W25*W24*W26*W27</f>
        <v>773.4375</v>
      </c>
      <c r="X22" s="62" t="s">
        <v>24</v>
      </c>
      <c r="Y22" s="38" t="s">
        <v>113</v>
      </c>
      <c r="Z22" s="220">
        <f>B10</f>
        <v>2.1295200000000002E-3</v>
      </c>
      <c r="AA22" s="38" t="s">
        <v>198</v>
      </c>
      <c r="AB22" s="38" t="s">
        <v>113</v>
      </c>
      <c r="AC22" s="220">
        <f>B10</f>
        <v>2.1295200000000002E-3</v>
      </c>
      <c r="AD22" s="38" t="s">
        <v>198</v>
      </c>
      <c r="AE22" s="60" t="s">
        <v>219</v>
      </c>
      <c r="AF22" s="71">
        <f>AF23*AF25*AF24*AF26*AF27</f>
        <v>773.4375</v>
      </c>
      <c r="AG22" s="62" t="s">
        <v>24</v>
      </c>
      <c r="AH22" s="38" t="s">
        <v>113</v>
      </c>
      <c r="AI22" s="220">
        <f>B10</f>
        <v>2.1295200000000002E-3</v>
      </c>
      <c r="AJ22" s="38" t="s">
        <v>198</v>
      </c>
      <c r="AK22" s="38" t="s">
        <v>113</v>
      </c>
      <c r="AL22" s="220">
        <f>B10</f>
        <v>2.1295200000000002E-3</v>
      </c>
      <c r="AM22" s="38" t="s">
        <v>198</v>
      </c>
    </row>
    <row r="23" spans="1:39" s="1" customFormat="1" ht="14.25" x14ac:dyDescent="0.2">
      <c r="A23" t="s">
        <v>90</v>
      </c>
      <c r="B23" s="188">
        <v>1.169</v>
      </c>
      <c r="C23"/>
      <c r="D23" s="63" t="s">
        <v>221</v>
      </c>
      <c r="E23" s="64">
        <f>(E37*E29*E31)+(E36*E28*E30)</f>
        <v>486.75</v>
      </c>
      <c r="F23" s="65" t="s">
        <v>25</v>
      </c>
      <c r="G23" s="38" t="s">
        <v>23</v>
      </c>
      <c r="H23" s="220">
        <f>B11</f>
        <v>4.3486799999999998E-4</v>
      </c>
      <c r="I23" s="38" t="s">
        <v>199</v>
      </c>
      <c r="J23" s="38" t="s">
        <v>23</v>
      </c>
      <c r="K23" s="220">
        <f>B11</f>
        <v>4.3486799999999998E-4</v>
      </c>
      <c r="L23" s="38" t="s">
        <v>199</v>
      </c>
      <c r="M23" s="63" t="s">
        <v>162</v>
      </c>
      <c r="N23" s="66">
        <f>B27</f>
        <v>0.75</v>
      </c>
      <c r="O23" s="65"/>
      <c r="P23" s="38" t="s">
        <v>23</v>
      </c>
      <c r="Q23" s="220">
        <f>B11</f>
        <v>4.3486799999999998E-4</v>
      </c>
      <c r="R23" s="38" t="s">
        <v>199</v>
      </c>
      <c r="S23" s="38" t="s">
        <v>23</v>
      </c>
      <c r="T23" s="220">
        <f>B11</f>
        <v>4.3486799999999998E-4</v>
      </c>
      <c r="U23" s="38" t="s">
        <v>199</v>
      </c>
      <c r="V23" s="63" t="s">
        <v>162</v>
      </c>
      <c r="W23" s="66">
        <f>B27</f>
        <v>0.75</v>
      </c>
      <c r="X23" s="65"/>
      <c r="Y23" s="38" t="s">
        <v>23</v>
      </c>
      <c r="Z23" s="220">
        <f>B11</f>
        <v>4.3486799999999998E-4</v>
      </c>
      <c r="AA23" s="38" t="s">
        <v>199</v>
      </c>
      <c r="AB23" s="38" t="s">
        <v>23</v>
      </c>
      <c r="AC23" s="220">
        <f>B11</f>
        <v>4.3486799999999998E-4</v>
      </c>
      <c r="AD23" s="38" t="s">
        <v>199</v>
      </c>
      <c r="AE23" s="63" t="s">
        <v>162</v>
      </c>
      <c r="AF23" s="66">
        <f>B27</f>
        <v>0.75</v>
      </c>
      <c r="AG23" s="65"/>
      <c r="AH23" s="38" t="s">
        <v>23</v>
      </c>
      <c r="AI23" s="220">
        <f>B11</f>
        <v>4.3486799999999998E-4</v>
      </c>
      <c r="AJ23" s="38" t="s">
        <v>199</v>
      </c>
      <c r="AK23" s="38" t="s">
        <v>23</v>
      </c>
      <c r="AL23" s="220">
        <f>B11</f>
        <v>4.3486799999999998E-4</v>
      </c>
      <c r="AM23" s="38" t="s">
        <v>199</v>
      </c>
    </row>
    <row r="24" spans="1:39" s="1" customFormat="1" ht="14.25" x14ac:dyDescent="0.2">
      <c r="A24" s="28" t="s">
        <v>139</v>
      </c>
      <c r="B24" s="55">
        <v>2</v>
      </c>
      <c r="C24"/>
      <c r="D24" s="63" t="s">
        <v>162</v>
      </c>
      <c r="E24" s="66">
        <f>B27</f>
        <v>0.75</v>
      </c>
      <c r="F24" s="65"/>
      <c r="G24" s="38" t="s">
        <v>114</v>
      </c>
      <c r="H24" s="220">
        <f>B12</f>
        <v>4.4084799999999998E-4</v>
      </c>
      <c r="I24" s="38" t="s">
        <v>198</v>
      </c>
      <c r="J24" s="38" t="s">
        <v>114</v>
      </c>
      <c r="K24" s="220">
        <f>B12</f>
        <v>4.4084799999999998E-4</v>
      </c>
      <c r="L24" s="38" t="s">
        <v>198</v>
      </c>
      <c r="M24" s="63" t="s">
        <v>119</v>
      </c>
      <c r="N24" s="66">
        <f>B28</f>
        <v>0.75</v>
      </c>
      <c r="O24" s="65"/>
      <c r="P24" s="38" t="s">
        <v>114</v>
      </c>
      <c r="Q24" s="220">
        <f>B12</f>
        <v>4.4084799999999998E-4</v>
      </c>
      <c r="R24" s="38" t="s">
        <v>198</v>
      </c>
      <c r="S24" s="38" t="s">
        <v>114</v>
      </c>
      <c r="T24" s="220">
        <f>B12</f>
        <v>4.4084799999999998E-4</v>
      </c>
      <c r="U24" s="38" t="s">
        <v>198</v>
      </c>
      <c r="V24" s="63" t="s">
        <v>119</v>
      </c>
      <c r="W24" s="66">
        <f>B28</f>
        <v>0.75</v>
      </c>
      <c r="X24" s="65"/>
      <c r="Y24" s="38" t="s">
        <v>114</v>
      </c>
      <c r="Z24" s="220">
        <f>B12</f>
        <v>4.4084799999999998E-4</v>
      </c>
      <c r="AA24" s="38" t="s">
        <v>198</v>
      </c>
      <c r="AB24" s="38" t="s">
        <v>114</v>
      </c>
      <c r="AC24" s="220">
        <f>B12</f>
        <v>4.4084799999999998E-4</v>
      </c>
      <c r="AD24" s="38" t="s">
        <v>198</v>
      </c>
      <c r="AE24" s="63" t="s">
        <v>119</v>
      </c>
      <c r="AF24" s="66">
        <f>B28</f>
        <v>0.75</v>
      </c>
      <c r="AG24" s="65"/>
      <c r="AH24" s="38" t="s">
        <v>114</v>
      </c>
      <c r="AI24" s="220">
        <f>B12</f>
        <v>4.4084799999999998E-4</v>
      </c>
      <c r="AJ24" s="38" t="s">
        <v>198</v>
      </c>
      <c r="AK24" s="38" t="s">
        <v>114</v>
      </c>
      <c r="AL24" s="220">
        <f>B12</f>
        <v>4.4084799999999998E-4</v>
      </c>
      <c r="AM24" s="38" t="s">
        <v>198</v>
      </c>
    </row>
    <row r="25" spans="1:39" s="1" customFormat="1" ht="14.25" x14ac:dyDescent="0.2">
      <c r="A25" s="28" t="s">
        <v>3</v>
      </c>
      <c r="B25" s="55">
        <v>2</v>
      </c>
      <c r="C25" s="37"/>
      <c r="D25" s="63" t="s">
        <v>119</v>
      </c>
      <c r="E25" s="66">
        <f>B28</f>
        <v>0.75</v>
      </c>
      <c r="F25" s="65"/>
      <c r="G25" s="38" t="s">
        <v>115</v>
      </c>
      <c r="H25" s="220">
        <f>B13</f>
        <v>1.2571640000000001E-3</v>
      </c>
      <c r="I25" s="38" t="s">
        <v>198</v>
      </c>
      <c r="J25" s="38" t="s">
        <v>115</v>
      </c>
      <c r="K25" s="220">
        <f>B13</f>
        <v>1.2571640000000001E-3</v>
      </c>
      <c r="L25" s="38" t="s">
        <v>198</v>
      </c>
      <c r="M25" s="63" t="s">
        <v>122</v>
      </c>
      <c r="N25" s="66">
        <f>B58</f>
        <v>5</v>
      </c>
      <c r="O25" s="65" t="s">
        <v>203</v>
      </c>
      <c r="P25" s="38" t="s">
        <v>115</v>
      </c>
      <c r="Q25" s="220">
        <f>B13</f>
        <v>1.2571640000000001E-3</v>
      </c>
      <c r="R25" s="38" t="s">
        <v>198</v>
      </c>
      <c r="S25" s="38" t="s">
        <v>115</v>
      </c>
      <c r="T25" s="220">
        <f>B13</f>
        <v>1.2571640000000001E-3</v>
      </c>
      <c r="U25" s="38" t="s">
        <v>198</v>
      </c>
      <c r="V25" s="63" t="s">
        <v>132</v>
      </c>
      <c r="W25" s="66">
        <f>B67</f>
        <v>5</v>
      </c>
      <c r="X25" s="65" t="s">
        <v>203</v>
      </c>
      <c r="Y25" s="38" t="s">
        <v>115</v>
      </c>
      <c r="Z25" s="220">
        <f>B13</f>
        <v>1.2571640000000001E-3</v>
      </c>
      <c r="AA25" s="38" t="s">
        <v>198</v>
      </c>
      <c r="AB25" s="38" t="s">
        <v>115</v>
      </c>
      <c r="AC25" s="220">
        <f>B13</f>
        <v>1.2571640000000001E-3</v>
      </c>
      <c r="AD25" s="38" t="s">
        <v>198</v>
      </c>
      <c r="AE25" s="63" t="s">
        <v>14</v>
      </c>
      <c r="AF25" s="66">
        <f>B76</f>
        <v>5</v>
      </c>
      <c r="AG25" s="65" t="s">
        <v>203</v>
      </c>
      <c r="AH25" s="38" t="s">
        <v>115</v>
      </c>
      <c r="AI25" s="220">
        <f>B13</f>
        <v>1.2571640000000001E-3</v>
      </c>
      <c r="AJ25" s="38" t="s">
        <v>198</v>
      </c>
      <c r="AK25" s="38" t="s">
        <v>115</v>
      </c>
      <c r="AL25" s="220">
        <f>B13</f>
        <v>1.2571640000000001E-3</v>
      </c>
      <c r="AM25" s="38" t="s">
        <v>198</v>
      </c>
    </row>
    <row r="26" spans="1:39" s="1" customFormat="1" ht="14.25" x14ac:dyDescent="0.2">
      <c r="A26" s="28" t="s">
        <v>27</v>
      </c>
      <c r="B26" s="55">
        <v>2</v>
      </c>
      <c r="C26" s="37"/>
      <c r="D26" s="67" t="s">
        <v>159</v>
      </c>
      <c r="E26" s="66">
        <f>B40</f>
        <v>10</v>
      </c>
      <c r="F26" s="65" t="s">
        <v>203</v>
      </c>
      <c r="G26" s="38" t="s">
        <v>116</v>
      </c>
      <c r="H26" s="220">
        <f>B14</f>
        <v>1.94272E-3</v>
      </c>
      <c r="I26" s="38" t="s">
        <v>198</v>
      </c>
      <c r="J26" s="38" t="s">
        <v>116</v>
      </c>
      <c r="K26" s="220">
        <f>B14</f>
        <v>1.94272E-3</v>
      </c>
      <c r="L26" s="38" t="s">
        <v>198</v>
      </c>
      <c r="M26" s="63" t="s">
        <v>136</v>
      </c>
      <c r="N26" s="66">
        <f>B62</f>
        <v>55</v>
      </c>
      <c r="O26" s="65" t="s">
        <v>24</v>
      </c>
      <c r="P26" s="38" t="s">
        <v>116</v>
      </c>
      <c r="Q26" s="220">
        <f>B14</f>
        <v>1.94272E-3</v>
      </c>
      <c r="R26" s="38" t="s">
        <v>198</v>
      </c>
      <c r="S26" s="38" t="s">
        <v>116</v>
      </c>
      <c r="T26" s="220">
        <f>B14</f>
        <v>1.94272E-3</v>
      </c>
      <c r="U26" s="38" t="s">
        <v>198</v>
      </c>
      <c r="V26" s="63" t="s">
        <v>130</v>
      </c>
      <c r="W26" s="66">
        <f>B71</f>
        <v>55</v>
      </c>
      <c r="X26" s="65" t="s">
        <v>24</v>
      </c>
      <c r="Y26" s="38" t="s">
        <v>116</v>
      </c>
      <c r="Z26" s="220">
        <f>B14</f>
        <v>1.94272E-3</v>
      </c>
      <c r="AA26" s="38" t="s">
        <v>198</v>
      </c>
      <c r="AB26" s="38" t="s">
        <v>116</v>
      </c>
      <c r="AC26" s="220">
        <f>B14</f>
        <v>1.94272E-3</v>
      </c>
      <c r="AD26" s="38" t="s">
        <v>198</v>
      </c>
      <c r="AE26" s="63" t="s">
        <v>17</v>
      </c>
      <c r="AF26" s="66">
        <f>B80</f>
        <v>55</v>
      </c>
      <c r="AG26" s="65" t="s">
        <v>24</v>
      </c>
      <c r="AH26" s="38" t="s">
        <v>116</v>
      </c>
      <c r="AI26" s="220">
        <f>B14</f>
        <v>1.94272E-3</v>
      </c>
      <c r="AJ26" s="38" t="s">
        <v>198</v>
      </c>
      <c r="AK26" s="38" t="s">
        <v>116</v>
      </c>
      <c r="AL26" s="220">
        <f>B14</f>
        <v>1.94272E-3</v>
      </c>
      <c r="AM26" s="38" t="s">
        <v>198</v>
      </c>
    </row>
    <row r="27" spans="1:39" s="1" customFormat="1" ht="14.25" x14ac:dyDescent="0.2">
      <c r="A27" s="28" t="s">
        <v>162</v>
      </c>
      <c r="B27" s="55">
        <v>0.75</v>
      </c>
      <c r="C27" s="37"/>
      <c r="D27" s="67" t="s">
        <v>158</v>
      </c>
      <c r="E27" s="66">
        <f>B39</f>
        <v>10</v>
      </c>
      <c r="F27" s="65" t="s">
        <v>203</v>
      </c>
      <c r="G27" s="40" t="s">
        <v>155</v>
      </c>
      <c r="H27" s="222">
        <f>B35</f>
        <v>55</v>
      </c>
      <c r="I27" s="29" t="s">
        <v>202</v>
      </c>
      <c r="J27" s="40" t="s">
        <v>155</v>
      </c>
      <c r="K27" s="221">
        <f>B35</f>
        <v>55</v>
      </c>
      <c r="L27" t="s">
        <v>202</v>
      </c>
      <c r="M27" s="68" t="s">
        <v>137</v>
      </c>
      <c r="N27" s="69">
        <f>B64</f>
        <v>5</v>
      </c>
      <c r="O27" s="70" t="s">
        <v>204</v>
      </c>
      <c r="P27" s="29" t="s">
        <v>87</v>
      </c>
      <c r="Q27" s="222">
        <f>B57</f>
        <v>55</v>
      </c>
      <c r="R27" s="29" t="s">
        <v>202</v>
      </c>
      <c r="S27" s="29" t="s">
        <v>87</v>
      </c>
      <c r="T27" s="221">
        <f>B57</f>
        <v>55</v>
      </c>
      <c r="U27" t="s">
        <v>202</v>
      </c>
      <c r="V27" s="68" t="s">
        <v>131</v>
      </c>
      <c r="W27" s="69">
        <f>B73</f>
        <v>5</v>
      </c>
      <c r="X27" s="70" t="s">
        <v>204</v>
      </c>
      <c r="Y27" s="29" t="s">
        <v>87</v>
      </c>
      <c r="Z27" s="32">
        <f>B66</f>
        <v>55</v>
      </c>
      <c r="AA27" t="s">
        <v>202</v>
      </c>
      <c r="AB27" s="29" t="s">
        <v>87</v>
      </c>
      <c r="AC27" s="222">
        <f>B66</f>
        <v>55</v>
      </c>
      <c r="AD27" s="29" t="s">
        <v>202</v>
      </c>
      <c r="AE27" s="68" t="s">
        <v>18</v>
      </c>
      <c r="AF27" s="69">
        <f>B82</f>
        <v>5</v>
      </c>
      <c r="AG27" s="70" t="s">
        <v>204</v>
      </c>
      <c r="AH27" s="29" t="s">
        <v>87</v>
      </c>
      <c r="AI27" s="222">
        <f>B75</f>
        <v>55</v>
      </c>
      <c r="AJ27" s="29" t="s">
        <v>202</v>
      </c>
      <c r="AK27" s="29" t="s">
        <v>87</v>
      </c>
      <c r="AL27" s="221">
        <f>B75</f>
        <v>55</v>
      </c>
      <c r="AM27" t="s">
        <v>202</v>
      </c>
    </row>
    <row r="28" spans="1:39" s="1" customFormat="1" ht="14.25" x14ac:dyDescent="0.2">
      <c r="A28" s="28" t="s">
        <v>119</v>
      </c>
      <c r="B28" s="55">
        <v>0.75</v>
      </c>
      <c r="C28" s="40"/>
      <c r="D28" s="67" t="s">
        <v>157</v>
      </c>
      <c r="E28" s="66">
        <f>B37</f>
        <v>55</v>
      </c>
      <c r="F28" s="65" t="s">
        <v>202</v>
      </c>
      <c r="G28" s="40" t="s">
        <v>125</v>
      </c>
      <c r="H28" s="221">
        <f>B43</f>
        <v>1</v>
      </c>
      <c r="I28" t="s">
        <v>205</v>
      </c>
      <c r="J28" s="40" t="s">
        <v>125</v>
      </c>
      <c r="K28" s="221">
        <f>B43</f>
        <v>1</v>
      </c>
      <c r="L28" t="s">
        <v>205</v>
      </c>
      <c r="M28" s="73" t="s">
        <v>133</v>
      </c>
      <c r="N28" s="66">
        <f>B57</f>
        <v>55</v>
      </c>
      <c r="O28" s="74" t="s">
        <v>202</v>
      </c>
      <c r="P28" t="s">
        <v>28</v>
      </c>
      <c r="Q28" s="221">
        <f>B61</f>
        <v>1</v>
      </c>
      <c r="R28" t="s">
        <v>205</v>
      </c>
      <c r="S28" s="29" t="s">
        <v>28</v>
      </c>
      <c r="T28" s="221">
        <f>B61</f>
        <v>1</v>
      </c>
      <c r="U28" t="s">
        <v>205</v>
      </c>
      <c r="V28" s="74" t="s">
        <v>128</v>
      </c>
      <c r="W28" s="66">
        <f>B66</f>
        <v>55</v>
      </c>
      <c r="X28" s="74" t="s">
        <v>202</v>
      </c>
      <c r="Y28" t="s">
        <v>28</v>
      </c>
      <c r="Z28" s="221">
        <f>B70</f>
        <v>1</v>
      </c>
      <c r="AA28" t="s">
        <v>205</v>
      </c>
      <c r="AB28" t="s">
        <v>28</v>
      </c>
      <c r="AC28" s="221">
        <f>B70</f>
        <v>1</v>
      </c>
      <c r="AD28" t="s">
        <v>205</v>
      </c>
      <c r="AE28" s="74" t="s">
        <v>13</v>
      </c>
      <c r="AF28" s="66">
        <f>B75</f>
        <v>55</v>
      </c>
      <c r="AG28" s="74" t="s">
        <v>202</v>
      </c>
      <c r="AH28" t="s">
        <v>28</v>
      </c>
      <c r="AI28" s="221">
        <f>B79</f>
        <v>1</v>
      </c>
      <c r="AJ28" t="s">
        <v>205</v>
      </c>
      <c r="AK28" t="s">
        <v>28</v>
      </c>
      <c r="AL28" s="221">
        <f>B79</f>
        <v>1</v>
      </c>
      <c r="AM28" t="s">
        <v>205</v>
      </c>
    </row>
    <row r="29" spans="1:39" s="1" customFormat="1" ht="14.25" x14ac:dyDescent="0.2">
      <c r="A29" s="28" t="s">
        <v>29</v>
      </c>
      <c r="B29" s="55">
        <v>0.4</v>
      </c>
      <c r="C29" s="28"/>
      <c r="D29" s="67" t="s">
        <v>156</v>
      </c>
      <c r="E29" s="66">
        <f>B36</f>
        <v>55</v>
      </c>
      <c r="F29" s="65" t="s">
        <v>202</v>
      </c>
      <c r="G29" t="s">
        <v>88</v>
      </c>
      <c r="H29" s="221">
        <f>B31</f>
        <v>0.75</v>
      </c>
      <c r="I29"/>
      <c r="J29" t="s">
        <v>88</v>
      </c>
      <c r="K29" s="221">
        <f>B31</f>
        <v>0.75</v>
      </c>
      <c r="L29"/>
      <c r="M29" s="74" t="s">
        <v>134</v>
      </c>
      <c r="N29" s="66">
        <f>B63</f>
        <v>5</v>
      </c>
      <c r="O29" s="74" t="s">
        <v>26</v>
      </c>
      <c r="P29"/>
      <c r="Q29" s="221"/>
      <c r="R29"/>
      <c r="S29"/>
      <c r="T29" s="221"/>
      <c r="U29"/>
      <c r="V29" s="74" t="s">
        <v>127</v>
      </c>
      <c r="W29" s="66">
        <f>B72</f>
        <v>5</v>
      </c>
      <c r="X29" s="74" t="s">
        <v>26</v>
      </c>
      <c r="Y29"/>
      <c r="Z29" s="221"/>
      <c r="AA29"/>
      <c r="AB29"/>
      <c r="AC29" s="221"/>
      <c r="AD29"/>
      <c r="AE29" s="74" t="s">
        <v>12</v>
      </c>
      <c r="AF29" s="66">
        <f>B81</f>
        <v>5</v>
      </c>
      <c r="AG29" s="74" t="s">
        <v>26</v>
      </c>
      <c r="AH29"/>
      <c r="AI29" s="221"/>
      <c r="AJ29"/>
      <c r="AK29"/>
      <c r="AL29" s="221"/>
      <c r="AM29"/>
    </row>
    <row r="30" spans="1:39" s="1" customFormat="1" ht="14.25" x14ac:dyDescent="0.2">
      <c r="A30" s="54" t="s">
        <v>99</v>
      </c>
      <c r="B30" s="55">
        <v>5</v>
      </c>
      <c r="C30" s="28"/>
      <c r="D30" s="63" t="s">
        <v>163</v>
      </c>
      <c r="E30" s="66">
        <f>B54</f>
        <v>0.77</v>
      </c>
      <c r="F30" s="65"/>
      <c r="G30" t="s">
        <v>99</v>
      </c>
      <c r="H30" s="221">
        <f>B30</f>
        <v>5</v>
      </c>
      <c r="I30"/>
      <c r="J30" t="s">
        <v>99</v>
      </c>
      <c r="K30" s="221">
        <f>B30</f>
        <v>5</v>
      </c>
      <c r="L30"/>
      <c r="M30" s="28" t="s">
        <v>135</v>
      </c>
      <c r="N30" s="32">
        <f>B61</f>
        <v>1</v>
      </c>
      <c r="O30" s="28" t="s">
        <v>205</v>
      </c>
      <c r="P30" t="s">
        <v>99</v>
      </c>
      <c r="Q30" s="221">
        <f>B30</f>
        <v>5</v>
      </c>
      <c r="R30"/>
      <c r="S30" t="s">
        <v>99</v>
      </c>
      <c r="T30" s="221">
        <f>B30</f>
        <v>5</v>
      </c>
      <c r="U30"/>
      <c r="V30" s="28" t="s">
        <v>129</v>
      </c>
      <c r="W30" s="32">
        <f>B70</f>
        <v>1</v>
      </c>
      <c r="X30" s="28" t="s">
        <v>205</v>
      </c>
      <c r="Y30" t="s">
        <v>99</v>
      </c>
      <c r="Z30" s="221">
        <f>B30</f>
        <v>5</v>
      </c>
      <c r="AA30"/>
      <c r="AB30" t="s">
        <v>99</v>
      </c>
      <c r="AC30" s="221">
        <f>B30</f>
        <v>5</v>
      </c>
      <c r="AD30"/>
      <c r="AE30" s="28" t="s">
        <v>15</v>
      </c>
      <c r="AF30" s="32">
        <f>B79</f>
        <v>1</v>
      </c>
      <c r="AG30" s="28" t="s">
        <v>205</v>
      </c>
      <c r="AH30" s="28" t="s">
        <v>16</v>
      </c>
      <c r="AI30" s="221">
        <f>B31</f>
        <v>0.75</v>
      </c>
      <c r="AJ30"/>
      <c r="AK30" s="28" t="s">
        <v>16</v>
      </c>
      <c r="AL30" s="221">
        <f>B31</f>
        <v>0.75</v>
      </c>
      <c r="AM30"/>
    </row>
    <row r="31" spans="1:39" s="1" customFormat="1" ht="14.25" x14ac:dyDescent="0.2">
      <c r="A31" s="54" t="s">
        <v>16</v>
      </c>
      <c r="B31" s="55">
        <v>0.75</v>
      </c>
      <c r="C31" s="28"/>
      <c r="D31" s="63" t="s">
        <v>164</v>
      </c>
      <c r="E31" s="66">
        <f>B55</f>
        <v>0.23</v>
      </c>
      <c r="F31" s="65"/>
      <c r="G31"/>
      <c r="H31" s="221"/>
      <c r="I31"/>
      <c r="J31"/>
      <c r="K31" s="221"/>
      <c r="L31"/>
      <c r="M31" s="28" t="s">
        <v>3</v>
      </c>
      <c r="N31" s="32">
        <f>B25</f>
        <v>2</v>
      </c>
      <c r="O31" s="28"/>
      <c r="P31"/>
      <c r="Q31" s="221"/>
      <c r="R31"/>
      <c r="S31"/>
      <c r="T31" s="221"/>
      <c r="U31"/>
      <c r="V31" s="28" t="s">
        <v>3</v>
      </c>
      <c r="W31" s="32">
        <f>B25</f>
        <v>2</v>
      </c>
      <c r="X31" s="28"/>
      <c r="Y31"/>
      <c r="Z31" s="221"/>
      <c r="AA31"/>
      <c r="AB31"/>
      <c r="AC31" s="221"/>
      <c r="AD31"/>
      <c r="AE31" s="28" t="s">
        <v>3</v>
      </c>
      <c r="AF31" s="32">
        <f>B25</f>
        <v>2</v>
      </c>
      <c r="AG31" s="28"/>
      <c r="AH31"/>
      <c r="AI31" s="221"/>
      <c r="AJ31"/>
      <c r="AK31"/>
      <c r="AL31" s="221"/>
      <c r="AM31"/>
    </row>
    <row r="32" spans="1:39" s="1" customFormat="1" ht="14.25" x14ac:dyDescent="0.2">
      <c r="A32" s="54" t="s">
        <v>31</v>
      </c>
      <c r="B32" s="52">
        <v>666666666</v>
      </c>
      <c r="C32" s="54" t="s">
        <v>32</v>
      </c>
      <c r="D32" s="63" t="s">
        <v>147</v>
      </c>
      <c r="E32" s="66">
        <f>B52</f>
        <v>55</v>
      </c>
      <c r="F32" s="65" t="s">
        <v>24</v>
      </c>
      <c r="G32" s="28" t="s">
        <v>160</v>
      </c>
      <c r="H32" s="221">
        <f>B50</f>
        <v>2</v>
      </c>
      <c r="I32" t="s">
        <v>203</v>
      </c>
      <c r="J32" s="28" t="s">
        <v>160</v>
      </c>
      <c r="K32" s="221">
        <f>B50</f>
        <v>2</v>
      </c>
      <c r="L32" t="s">
        <v>203</v>
      </c>
      <c r="M32" s="28" t="s">
        <v>27</v>
      </c>
      <c r="N32" s="32">
        <f>B26</f>
        <v>2</v>
      </c>
      <c r="O32" s="28"/>
      <c r="P32" t="s">
        <v>89</v>
      </c>
      <c r="Q32" s="221">
        <f>B58</f>
        <v>5</v>
      </c>
      <c r="R32" t="s">
        <v>203</v>
      </c>
      <c r="S32" t="s">
        <v>89</v>
      </c>
      <c r="T32" s="221">
        <f>B58</f>
        <v>5</v>
      </c>
      <c r="U32" t="s">
        <v>203</v>
      </c>
      <c r="V32" s="28" t="s">
        <v>27</v>
      </c>
      <c r="W32" s="32">
        <f>B26</f>
        <v>2</v>
      </c>
      <c r="X32" s="28"/>
      <c r="Y32" t="s">
        <v>89</v>
      </c>
      <c r="Z32" s="221">
        <f>B67</f>
        <v>5</v>
      </c>
      <c r="AA32" t="s">
        <v>203</v>
      </c>
      <c r="AB32" t="s">
        <v>89</v>
      </c>
      <c r="AC32" s="221">
        <f>B67</f>
        <v>5</v>
      </c>
      <c r="AD32" t="s">
        <v>203</v>
      </c>
      <c r="AE32" s="28" t="s">
        <v>27</v>
      </c>
      <c r="AF32" s="32">
        <f>B26</f>
        <v>2</v>
      </c>
      <c r="AG32" s="28"/>
      <c r="AH32" t="s">
        <v>89</v>
      </c>
      <c r="AI32" s="221">
        <f>B76</f>
        <v>5</v>
      </c>
      <c r="AJ32" t="s">
        <v>203</v>
      </c>
      <c r="AK32" t="s">
        <v>89</v>
      </c>
      <c r="AL32" s="221">
        <f>B76</f>
        <v>5</v>
      </c>
      <c r="AM32" t="s">
        <v>203</v>
      </c>
    </row>
    <row r="33" spans="1:39" s="1" customFormat="1" ht="14.25" x14ac:dyDescent="0.2">
      <c r="A33" s="38" t="s">
        <v>65</v>
      </c>
      <c r="B33" s="42">
        <v>0.38</v>
      </c>
      <c r="C33"/>
      <c r="D33" s="63" t="s">
        <v>146</v>
      </c>
      <c r="E33" s="66">
        <f>B53</f>
        <v>25</v>
      </c>
      <c r="F33" s="65" t="s">
        <v>24</v>
      </c>
      <c r="G33" t="s">
        <v>3</v>
      </c>
      <c r="H33" s="221">
        <f>B25</f>
        <v>2</v>
      </c>
      <c r="I33"/>
      <c r="J33" t="s">
        <v>3</v>
      </c>
      <c r="K33" s="221">
        <f>B25</f>
        <v>2</v>
      </c>
      <c r="L33"/>
      <c r="M33" s="28" t="s">
        <v>29</v>
      </c>
      <c r="N33" s="32">
        <f>B29</f>
        <v>0.4</v>
      </c>
      <c r="O33" s="28"/>
      <c r="P33" t="s">
        <v>3</v>
      </c>
      <c r="Q33" s="221">
        <f>B25</f>
        <v>2</v>
      </c>
      <c r="R33"/>
      <c r="S33" t="s">
        <v>3</v>
      </c>
      <c r="T33" s="221">
        <f>B25</f>
        <v>2</v>
      </c>
      <c r="U33"/>
      <c r="V33" s="28" t="s">
        <v>29</v>
      </c>
      <c r="W33" s="32">
        <f>B29</f>
        <v>0.4</v>
      </c>
      <c r="X33" s="28"/>
      <c r="Y33" t="s">
        <v>3</v>
      </c>
      <c r="Z33" s="221">
        <f>B25</f>
        <v>2</v>
      </c>
      <c r="AA33"/>
      <c r="AB33" t="s">
        <v>3</v>
      </c>
      <c r="AC33" s="221">
        <f>B25</f>
        <v>2</v>
      </c>
      <c r="AD33"/>
      <c r="AE33" s="28" t="s">
        <v>29</v>
      </c>
      <c r="AF33" s="32">
        <f>B29</f>
        <v>0.4</v>
      </c>
      <c r="AG33" s="28"/>
      <c r="AH33" t="s">
        <v>3</v>
      </c>
      <c r="AI33" s="221">
        <f>B25</f>
        <v>2</v>
      </c>
      <c r="AJ33"/>
      <c r="AK33" t="s">
        <v>3</v>
      </c>
      <c r="AL33" s="221">
        <f>B25</f>
        <v>2</v>
      </c>
      <c r="AM33"/>
    </row>
    <row r="34" spans="1:39" s="1" customFormat="1" ht="15" x14ac:dyDescent="0.2">
      <c r="A34" s="426" t="s">
        <v>7</v>
      </c>
      <c r="B34" s="426"/>
      <c r="C34" s="427"/>
      <c r="D34" s="67" t="s">
        <v>151</v>
      </c>
      <c r="E34" s="66">
        <f>B48</f>
        <v>5</v>
      </c>
      <c r="F34" s="65" t="s">
        <v>204</v>
      </c>
      <c r="G34" s="29" t="s">
        <v>27</v>
      </c>
      <c r="H34" s="222">
        <f>B26</f>
        <v>2</v>
      </c>
      <c r="I34" s="29"/>
      <c r="J34" s="29" t="s">
        <v>27</v>
      </c>
      <c r="K34" s="222">
        <f>B26</f>
        <v>2</v>
      </c>
      <c r="L34" s="29"/>
      <c r="M34" s="54" t="s">
        <v>99</v>
      </c>
      <c r="N34" s="32">
        <f>B30</f>
        <v>5</v>
      </c>
      <c r="O34" s="28"/>
      <c r="P34" s="29" t="s">
        <v>27</v>
      </c>
      <c r="Q34" s="222">
        <f>B26</f>
        <v>2</v>
      </c>
      <c r="R34" s="29"/>
      <c r="S34" s="29" t="s">
        <v>27</v>
      </c>
      <c r="T34" s="222">
        <f>B26</f>
        <v>2</v>
      </c>
      <c r="U34" s="29"/>
      <c r="V34" s="54" t="s">
        <v>99</v>
      </c>
      <c r="W34" s="32">
        <f>B30</f>
        <v>5</v>
      </c>
      <c r="X34" s="28"/>
      <c r="Y34" s="29" t="s">
        <v>27</v>
      </c>
      <c r="Z34" s="222">
        <f>B26</f>
        <v>2</v>
      </c>
      <c r="AA34" s="29"/>
      <c r="AB34" s="29" t="s">
        <v>27</v>
      </c>
      <c r="AC34" s="222">
        <f>B26</f>
        <v>2</v>
      </c>
      <c r="AD34" s="29"/>
      <c r="AE34" s="54" t="s">
        <v>99</v>
      </c>
      <c r="AF34" s="32">
        <f>B30</f>
        <v>5</v>
      </c>
      <c r="AG34" s="28"/>
      <c r="AH34" s="29" t="s">
        <v>27</v>
      </c>
      <c r="AI34" s="222">
        <f>B26</f>
        <v>2</v>
      </c>
      <c r="AJ34" s="29"/>
      <c r="AK34" s="29" t="s">
        <v>27</v>
      </c>
      <c r="AL34" s="222">
        <f>B26</f>
        <v>2</v>
      </c>
      <c r="AM34" s="29"/>
    </row>
    <row r="35" spans="1:39" x14ac:dyDescent="0.2">
      <c r="A35" s="40" t="s">
        <v>155</v>
      </c>
      <c r="B35" s="166">
        <v>55</v>
      </c>
      <c r="C35" s="40" t="s">
        <v>202</v>
      </c>
      <c r="D35" s="67" t="s">
        <v>150</v>
      </c>
      <c r="E35" s="66">
        <f>B49</f>
        <v>15</v>
      </c>
      <c r="F35" s="65" t="s">
        <v>204</v>
      </c>
      <c r="G35" s="28" t="s">
        <v>139</v>
      </c>
      <c r="H35" s="221">
        <f>B24</f>
        <v>2</v>
      </c>
      <c r="J35" s="28" t="s">
        <v>139</v>
      </c>
      <c r="K35" s="221">
        <f>B24</f>
        <v>2</v>
      </c>
      <c r="M35" s="54" t="s">
        <v>16</v>
      </c>
      <c r="N35" s="32">
        <f>B31</f>
        <v>0.75</v>
      </c>
      <c r="P35" s="28" t="s">
        <v>139</v>
      </c>
      <c r="Q35" s="221">
        <f>B24</f>
        <v>2</v>
      </c>
      <c r="S35" s="28" t="s">
        <v>139</v>
      </c>
      <c r="T35" s="221">
        <f>B24</f>
        <v>2</v>
      </c>
      <c r="V35" s="54" t="s">
        <v>16</v>
      </c>
      <c r="W35" s="32">
        <f>B31</f>
        <v>0.75</v>
      </c>
      <c r="Y35" s="28" t="s">
        <v>139</v>
      </c>
      <c r="Z35" s="221">
        <f>B24</f>
        <v>2</v>
      </c>
      <c r="AB35" s="28" t="s">
        <v>139</v>
      </c>
      <c r="AC35" s="221">
        <f>B24</f>
        <v>2</v>
      </c>
      <c r="AE35" s="54" t="s">
        <v>16</v>
      </c>
      <c r="AF35" s="32">
        <f>B31</f>
        <v>0.75</v>
      </c>
      <c r="AH35" s="28" t="s">
        <v>139</v>
      </c>
      <c r="AI35" s="221">
        <f>B24</f>
        <v>2</v>
      </c>
      <c r="AK35" s="28" t="s">
        <v>139</v>
      </c>
      <c r="AL35" s="221">
        <f>B24</f>
        <v>2</v>
      </c>
    </row>
    <row r="36" spans="1:39" x14ac:dyDescent="0.2">
      <c r="A36" s="40" t="s">
        <v>156</v>
      </c>
      <c r="B36" s="166">
        <v>55</v>
      </c>
      <c r="C36" s="40" t="s">
        <v>202</v>
      </c>
      <c r="D36" s="63" t="s">
        <v>149</v>
      </c>
      <c r="E36" s="66">
        <f>B47</f>
        <v>10</v>
      </c>
      <c r="F36" s="65" t="s">
        <v>26</v>
      </c>
      <c r="G36" s="28" t="s">
        <v>161</v>
      </c>
      <c r="H36" s="221">
        <f>B51</f>
        <v>20</v>
      </c>
      <c r="J36" s="28" t="s">
        <v>161</v>
      </c>
      <c r="K36" s="221">
        <f>B51</f>
        <v>20</v>
      </c>
      <c r="M36" s="28" t="s">
        <v>30</v>
      </c>
      <c r="N36" s="43">
        <f>B18</f>
        <v>0.46277665995975897</v>
      </c>
      <c r="Q36" s="221"/>
      <c r="T36" s="221"/>
      <c r="V36" s="28" t="s">
        <v>30</v>
      </c>
      <c r="W36" s="43">
        <f>B18</f>
        <v>0.46277665995975897</v>
      </c>
      <c r="Z36" s="221"/>
      <c r="AC36" s="221"/>
      <c r="AE36" s="28" t="s">
        <v>30</v>
      </c>
      <c r="AF36" s="43">
        <f>B18</f>
        <v>0.46277665995975897</v>
      </c>
      <c r="AI36" s="221"/>
      <c r="AL36" s="221"/>
    </row>
    <row r="37" spans="1:39" x14ac:dyDescent="0.2">
      <c r="A37" s="40" t="s">
        <v>157</v>
      </c>
      <c r="B37" s="166">
        <v>55</v>
      </c>
      <c r="C37" s="40" t="s">
        <v>202</v>
      </c>
      <c r="D37" s="68" t="s">
        <v>148</v>
      </c>
      <c r="E37" s="69">
        <f>B46</f>
        <v>5</v>
      </c>
      <c r="F37" s="70" t="s">
        <v>26</v>
      </c>
      <c r="G37" t="s">
        <v>90</v>
      </c>
      <c r="H37" s="221">
        <f>B23</f>
        <v>1.169</v>
      </c>
      <c r="J37" s="38" t="s">
        <v>141</v>
      </c>
      <c r="K37" s="220">
        <f>B17</f>
        <v>0.75568181818181801</v>
      </c>
      <c r="M37" s="54" t="s">
        <v>31</v>
      </c>
      <c r="N37" s="53">
        <f>B32</f>
        <v>666666666</v>
      </c>
      <c r="O37" s="54" t="s">
        <v>32</v>
      </c>
      <c r="P37" s="30" t="s">
        <v>5</v>
      </c>
      <c r="Q37" s="221">
        <f>B23</f>
        <v>1.169</v>
      </c>
      <c r="R37" t="s">
        <v>91</v>
      </c>
      <c r="S37" s="38" t="s">
        <v>141</v>
      </c>
      <c r="T37" s="220">
        <f>B17</f>
        <v>0.75568181818181801</v>
      </c>
      <c r="V37" s="54" t="s">
        <v>31</v>
      </c>
      <c r="W37" s="53">
        <f>B32</f>
        <v>666666666</v>
      </c>
      <c r="X37" s="54" t="s">
        <v>32</v>
      </c>
      <c r="Y37" s="30" t="s">
        <v>5</v>
      </c>
      <c r="Z37" s="221">
        <f>B23</f>
        <v>1.169</v>
      </c>
      <c r="AA37" t="s">
        <v>91</v>
      </c>
      <c r="AB37" s="38" t="s">
        <v>141</v>
      </c>
      <c r="AC37" s="220">
        <f>B17</f>
        <v>0.75568181818181801</v>
      </c>
      <c r="AE37" s="54" t="s">
        <v>31</v>
      </c>
      <c r="AF37" s="53">
        <f>B32</f>
        <v>666666666</v>
      </c>
      <c r="AG37" s="54" t="s">
        <v>32</v>
      </c>
      <c r="AH37" s="30" t="s">
        <v>5</v>
      </c>
      <c r="AI37" s="221">
        <f>B23</f>
        <v>1.169</v>
      </c>
      <c r="AJ37" t="s">
        <v>91</v>
      </c>
      <c r="AK37" s="38" t="s">
        <v>141</v>
      </c>
      <c r="AL37" s="220">
        <f>B17</f>
        <v>0.75568181818181801</v>
      </c>
    </row>
    <row r="38" spans="1:39" x14ac:dyDescent="0.2">
      <c r="A38" s="40" t="s">
        <v>154</v>
      </c>
      <c r="B38" s="42">
        <v>10</v>
      </c>
      <c r="C38" s="40" t="s">
        <v>203</v>
      </c>
      <c r="D38" s="28" t="s">
        <v>125</v>
      </c>
      <c r="E38" s="32">
        <f>B43</f>
        <v>1</v>
      </c>
      <c r="F38" s="28" t="s">
        <v>205</v>
      </c>
      <c r="H38" s="221"/>
      <c r="J38" s="38" t="s">
        <v>142</v>
      </c>
      <c r="K38" s="220">
        <f>B18</f>
        <v>0.46277665995975897</v>
      </c>
      <c r="M38" s="44" t="s">
        <v>98</v>
      </c>
      <c r="N38" s="43">
        <f>PEF!W2</f>
        <v>17636131.202504292</v>
      </c>
      <c r="O38" s="28" t="s">
        <v>34</v>
      </c>
      <c r="Q38" s="221"/>
      <c r="S38" s="38" t="s">
        <v>142</v>
      </c>
      <c r="T38" s="220">
        <f>B18</f>
        <v>0.46277665995975897</v>
      </c>
      <c r="V38" s="44" t="s">
        <v>98</v>
      </c>
      <c r="W38" s="43">
        <f>PEF!W2</f>
        <v>17636131.202504292</v>
      </c>
      <c r="X38" s="28" t="s">
        <v>34</v>
      </c>
      <c r="AB38" s="38" t="s">
        <v>142</v>
      </c>
      <c r="AC38" s="220">
        <f>B18</f>
        <v>0.46277665995975897</v>
      </c>
      <c r="AE38" s="44" t="s">
        <v>98</v>
      </c>
      <c r="AF38" s="43">
        <f>PEF!O2</f>
        <v>1114670.500974617</v>
      </c>
      <c r="AG38" s="28" t="s">
        <v>34</v>
      </c>
      <c r="AI38" s="221"/>
      <c r="AK38" s="38" t="s">
        <v>142</v>
      </c>
      <c r="AL38" s="221">
        <f>B18</f>
        <v>0.46277665995975897</v>
      </c>
    </row>
    <row r="39" spans="1:39" x14ac:dyDescent="0.2">
      <c r="A39" s="40" t="s">
        <v>158</v>
      </c>
      <c r="B39" s="42">
        <v>10</v>
      </c>
      <c r="C39" s="40" t="s">
        <v>203</v>
      </c>
      <c r="D39" s="28" t="s">
        <v>3</v>
      </c>
      <c r="E39" s="32">
        <f>B25</f>
        <v>2</v>
      </c>
      <c r="H39" s="221"/>
      <c r="J39" s="38" t="s">
        <v>143</v>
      </c>
      <c r="K39" s="220">
        <f>B19</f>
        <v>0.64968152866242002</v>
      </c>
      <c r="M39" s="28" t="s">
        <v>33</v>
      </c>
      <c r="N39" s="43">
        <f>PEF!C2</f>
        <v>1365593623.3683286</v>
      </c>
      <c r="O39" s="28" t="s">
        <v>34</v>
      </c>
      <c r="Q39" s="221"/>
      <c r="S39" s="38" t="s">
        <v>143</v>
      </c>
      <c r="T39" s="220">
        <f>B19</f>
        <v>0.64968152866242002</v>
      </c>
      <c r="V39" s="28" t="s">
        <v>33</v>
      </c>
      <c r="W39" s="43">
        <f>PEF!C2</f>
        <v>1365593623.3683286</v>
      </c>
      <c r="X39" s="28" t="s">
        <v>34</v>
      </c>
      <c r="AB39" s="38" t="s">
        <v>143</v>
      </c>
      <c r="AC39" s="220">
        <f>B19</f>
        <v>0.64968152866242002</v>
      </c>
      <c r="AE39" s="28" t="s">
        <v>33</v>
      </c>
      <c r="AF39" s="43">
        <f>PEF!C2</f>
        <v>1365593623.3683286</v>
      </c>
      <c r="AG39" s="28" t="s">
        <v>34</v>
      </c>
      <c r="AI39" s="221"/>
      <c r="AK39" s="38" t="s">
        <v>143</v>
      </c>
      <c r="AL39" s="221">
        <f>B19</f>
        <v>0.64968152866242002</v>
      </c>
    </row>
    <row r="40" spans="1:39" x14ac:dyDescent="0.2">
      <c r="A40" s="40" t="s">
        <v>159</v>
      </c>
      <c r="B40" s="42">
        <v>10</v>
      </c>
      <c r="C40" s="40" t="s">
        <v>203</v>
      </c>
      <c r="D40" s="28" t="s">
        <v>27</v>
      </c>
      <c r="E40" s="32">
        <f>B26</f>
        <v>2</v>
      </c>
      <c r="H40" s="221"/>
      <c r="J40" s="38" t="s">
        <v>144</v>
      </c>
      <c r="K40" s="220">
        <f>B20</f>
        <v>0.72251308900523603</v>
      </c>
      <c r="M40" s="28" t="s">
        <v>102</v>
      </c>
      <c r="N40" s="32">
        <f>B22</f>
        <v>222.01757699999999</v>
      </c>
      <c r="O40" s="28" t="s">
        <v>103</v>
      </c>
      <c r="Q40" s="221"/>
      <c r="S40" s="38" t="s">
        <v>144</v>
      </c>
      <c r="T40" s="220">
        <f>B20</f>
        <v>0.72251308900523603</v>
      </c>
      <c r="V40" s="28" t="s">
        <v>102</v>
      </c>
      <c r="W40" s="32">
        <f>B22</f>
        <v>222.01757699999999</v>
      </c>
      <c r="X40" s="28" t="s">
        <v>103</v>
      </c>
      <c r="AB40" s="38" t="s">
        <v>144</v>
      </c>
      <c r="AC40" s="220">
        <f>B20</f>
        <v>0.72251308900523603</v>
      </c>
      <c r="AE40" s="28" t="s">
        <v>102</v>
      </c>
      <c r="AF40" s="32">
        <f>B22</f>
        <v>222.01757699999999</v>
      </c>
      <c r="AG40" s="28" t="s">
        <v>103</v>
      </c>
      <c r="AI40" s="221"/>
      <c r="AK40" s="38" t="s">
        <v>144</v>
      </c>
      <c r="AL40" s="221">
        <f>B20</f>
        <v>0.72251308900523603</v>
      </c>
    </row>
    <row r="41" spans="1:39" x14ac:dyDescent="0.2">
      <c r="A41" s="40" t="s">
        <v>152</v>
      </c>
      <c r="B41" s="42">
        <v>10</v>
      </c>
      <c r="C41" s="40" t="s">
        <v>203</v>
      </c>
      <c r="D41" s="28" t="s">
        <v>160</v>
      </c>
      <c r="E41" s="32">
        <f>B50</f>
        <v>2</v>
      </c>
      <c r="F41" s="28" t="s">
        <v>203</v>
      </c>
      <c r="H41" s="221"/>
      <c r="J41" s="38" t="s">
        <v>145</v>
      </c>
      <c r="K41" s="220">
        <f>B21</f>
        <v>0.70094339622641499</v>
      </c>
      <c r="M41" s="28" t="s">
        <v>100</v>
      </c>
      <c r="N41" s="207">
        <v>27.027027027027</v>
      </c>
      <c r="O41" s="28" t="s">
        <v>101</v>
      </c>
      <c r="Q41" s="221"/>
      <c r="S41" s="38" t="s">
        <v>145</v>
      </c>
      <c r="T41" s="220">
        <f>B21</f>
        <v>0.70094339622641499</v>
      </c>
      <c r="V41" s="28" t="s">
        <v>100</v>
      </c>
      <c r="W41" s="207">
        <v>27.027027027027</v>
      </c>
      <c r="X41" s="28" t="s">
        <v>101</v>
      </c>
      <c r="AB41" s="38" t="s">
        <v>145</v>
      </c>
      <c r="AC41" s="220">
        <f>B21</f>
        <v>0.70094339622641499</v>
      </c>
      <c r="AE41" s="28" t="s">
        <v>100</v>
      </c>
      <c r="AF41" s="207">
        <v>27.027027027027</v>
      </c>
      <c r="AG41" s="28" t="s">
        <v>101</v>
      </c>
      <c r="AI41" s="221"/>
      <c r="AK41" s="38" t="s">
        <v>145</v>
      </c>
      <c r="AL41" s="221">
        <f>B21</f>
        <v>0.70094339622641499</v>
      </c>
    </row>
    <row r="42" spans="1:39" x14ac:dyDescent="0.2">
      <c r="A42" s="40" t="s">
        <v>153</v>
      </c>
      <c r="B42" s="42">
        <v>10</v>
      </c>
      <c r="C42" s="40" t="s">
        <v>203</v>
      </c>
      <c r="D42" s="28" t="s">
        <v>161</v>
      </c>
      <c r="E42" s="32">
        <f>B51</f>
        <v>20</v>
      </c>
      <c r="F42" s="28" t="s">
        <v>203</v>
      </c>
      <c r="G42" s="28" t="s">
        <v>100</v>
      </c>
      <c r="H42" s="207">
        <v>27.027027027027</v>
      </c>
      <c r="I42" s="28" t="s">
        <v>101</v>
      </c>
      <c r="J42" s="28" t="s">
        <v>100</v>
      </c>
      <c r="K42" s="207">
        <v>27.027027027027</v>
      </c>
      <c r="L42" s="28" t="s">
        <v>101</v>
      </c>
      <c r="M42" s="28" t="s">
        <v>104</v>
      </c>
      <c r="N42" s="32">
        <f>2.8*(10^(-15))</f>
        <v>2.8000000000000001E-15</v>
      </c>
      <c r="P42" s="28" t="s">
        <v>100</v>
      </c>
      <c r="Q42" s="207">
        <v>27.027027027027</v>
      </c>
      <c r="R42" s="28" t="s">
        <v>101</v>
      </c>
      <c r="S42" s="28" t="s">
        <v>100</v>
      </c>
      <c r="T42" s="207">
        <v>27.027027027027</v>
      </c>
      <c r="U42" s="28" t="s">
        <v>101</v>
      </c>
      <c r="V42" s="28" t="s">
        <v>104</v>
      </c>
      <c r="W42" s="32">
        <f>2.8*(10^(-15))</f>
        <v>2.8000000000000001E-15</v>
      </c>
      <c r="Y42" s="28" t="s">
        <v>100</v>
      </c>
      <c r="Z42" s="207">
        <v>27.027027027027</v>
      </c>
      <c r="AA42" s="28" t="s">
        <v>101</v>
      </c>
      <c r="AB42" s="28" t="s">
        <v>100</v>
      </c>
      <c r="AC42" s="207">
        <v>27.027027027027</v>
      </c>
      <c r="AD42" s="28" t="s">
        <v>101</v>
      </c>
      <c r="AE42" s="28" t="s">
        <v>104</v>
      </c>
      <c r="AF42" s="32">
        <f>2.8*(10^(-15))</f>
        <v>2.8000000000000001E-15</v>
      </c>
      <c r="AH42" s="28" t="s">
        <v>100</v>
      </c>
      <c r="AI42" s="207">
        <v>27.027027027027</v>
      </c>
      <c r="AJ42" s="28" t="s">
        <v>101</v>
      </c>
      <c r="AK42" s="28" t="s">
        <v>100</v>
      </c>
      <c r="AL42" s="207">
        <v>27.027027027027</v>
      </c>
      <c r="AM42" s="28" t="s">
        <v>101</v>
      </c>
    </row>
    <row r="43" spans="1:39" x14ac:dyDescent="0.2">
      <c r="A43" s="40" t="s">
        <v>125</v>
      </c>
      <c r="B43" s="42">
        <v>1</v>
      </c>
      <c r="C43" s="40" t="s">
        <v>10</v>
      </c>
      <c r="D43" s="28" t="s">
        <v>29</v>
      </c>
      <c r="E43" s="32">
        <f>B29</f>
        <v>0.4</v>
      </c>
      <c r="G43" s="28" t="s">
        <v>102</v>
      </c>
      <c r="H43" s="32">
        <f>B22</f>
        <v>222.01757699999999</v>
      </c>
      <c r="I43" s="28" t="s">
        <v>103</v>
      </c>
      <c r="J43" s="28" t="s">
        <v>102</v>
      </c>
      <c r="K43" s="32">
        <f>B22</f>
        <v>222.01757699999999</v>
      </c>
      <c r="L43" s="28" t="s">
        <v>103</v>
      </c>
      <c r="P43" s="28" t="s">
        <v>102</v>
      </c>
      <c r="Q43" s="32">
        <f>B22</f>
        <v>222.01757699999999</v>
      </c>
      <c r="R43" s="28" t="s">
        <v>103</v>
      </c>
      <c r="S43" s="28" t="s">
        <v>102</v>
      </c>
      <c r="T43" s="32">
        <f>B22</f>
        <v>222.01757699999999</v>
      </c>
      <c r="U43" s="28" t="s">
        <v>103</v>
      </c>
      <c r="Y43" s="28" t="s">
        <v>102</v>
      </c>
      <c r="Z43" s="32">
        <f>B22</f>
        <v>222.01757699999999</v>
      </c>
      <c r="AA43" s="28" t="s">
        <v>103</v>
      </c>
      <c r="AB43" s="28" t="s">
        <v>102</v>
      </c>
      <c r="AC43" s="32">
        <f>B22</f>
        <v>222.01757699999999</v>
      </c>
      <c r="AD43" s="28" t="s">
        <v>103</v>
      </c>
      <c r="AH43" s="28" t="s">
        <v>102</v>
      </c>
      <c r="AI43" s="32">
        <f>B22</f>
        <v>222.01757699999999</v>
      </c>
      <c r="AJ43" s="28" t="s">
        <v>103</v>
      </c>
      <c r="AK43" s="28" t="s">
        <v>102</v>
      </c>
      <c r="AL43" s="32">
        <f>B22</f>
        <v>222.01757699999999</v>
      </c>
      <c r="AM43" s="28" t="s">
        <v>103</v>
      </c>
    </row>
    <row r="44" spans="1:39" x14ac:dyDescent="0.2">
      <c r="A44" s="40" t="s">
        <v>146</v>
      </c>
      <c r="B44" s="42">
        <v>25</v>
      </c>
      <c r="C44" s="40" t="s">
        <v>120</v>
      </c>
      <c r="D44" s="54" t="s">
        <v>99</v>
      </c>
      <c r="E44" s="32">
        <f>B30</f>
        <v>5</v>
      </c>
      <c r="G44" s="28" t="s">
        <v>104</v>
      </c>
      <c r="H44" s="32">
        <f>2.8*(10^(-12))</f>
        <v>2.7999999999999998E-12</v>
      </c>
      <c r="I44" s="28"/>
      <c r="J44" s="28" t="s">
        <v>104</v>
      </c>
      <c r="K44" s="32">
        <f>2.8*(10^(-12))</f>
        <v>2.7999999999999998E-12</v>
      </c>
      <c r="L44" s="28"/>
      <c r="P44" s="28" t="s">
        <v>104</v>
      </c>
      <c r="Q44" s="32">
        <f>2.8*(10^(-12))</f>
        <v>2.7999999999999998E-12</v>
      </c>
      <c r="R44" s="28"/>
      <c r="S44" s="28" t="s">
        <v>104</v>
      </c>
      <c r="T44" s="32">
        <f>2.8*(10^(-12))</f>
        <v>2.7999999999999998E-12</v>
      </c>
      <c r="U44" s="28"/>
      <c r="Y44" s="28" t="s">
        <v>104</v>
      </c>
      <c r="Z44" s="32">
        <f>2.8*(10^(-12))</f>
        <v>2.7999999999999998E-12</v>
      </c>
      <c r="AA44" s="28"/>
      <c r="AB44" s="28" t="s">
        <v>104</v>
      </c>
      <c r="AC44" s="32">
        <f>2.8*(10^(-12))</f>
        <v>2.7999999999999998E-12</v>
      </c>
      <c r="AD44" s="28"/>
      <c r="AH44" s="28" t="s">
        <v>104</v>
      </c>
      <c r="AI44" s="32">
        <f>2.8*(10^(-12))</f>
        <v>2.7999999999999998E-12</v>
      </c>
      <c r="AJ44" s="28"/>
      <c r="AK44" s="28" t="s">
        <v>104</v>
      </c>
      <c r="AL44" s="32">
        <f>2.8*(10^(-12))</f>
        <v>2.7999999999999998E-12</v>
      </c>
      <c r="AM44" s="28"/>
    </row>
    <row r="45" spans="1:39" x14ac:dyDescent="0.2">
      <c r="A45" s="40" t="s">
        <v>147</v>
      </c>
      <c r="B45" s="42">
        <v>75</v>
      </c>
      <c r="C45" s="40" t="s">
        <v>120</v>
      </c>
      <c r="D45" s="54" t="s">
        <v>16</v>
      </c>
      <c r="E45" s="32">
        <f>B31</f>
        <v>0.75</v>
      </c>
      <c r="G45" s="28" t="s">
        <v>104</v>
      </c>
      <c r="H45" s="32">
        <f>2.8*(10^(-15))</f>
        <v>2.8000000000000001E-15</v>
      </c>
      <c r="J45" s="28" t="s">
        <v>104</v>
      </c>
      <c r="K45" s="32">
        <f>2.8*(10^(-15))</f>
        <v>2.8000000000000001E-15</v>
      </c>
      <c r="P45" s="28" t="s">
        <v>104</v>
      </c>
      <c r="Q45" s="32">
        <f>2.8*(10^(-15))</f>
        <v>2.8000000000000001E-15</v>
      </c>
      <c r="S45" s="28" t="s">
        <v>104</v>
      </c>
      <c r="T45" s="32">
        <f>2.8*(10^(-15))</f>
        <v>2.8000000000000001E-15</v>
      </c>
      <c r="Y45" s="28" t="s">
        <v>104</v>
      </c>
      <c r="Z45" s="32">
        <f>2.8*(10^(-15))</f>
        <v>2.8000000000000001E-15</v>
      </c>
      <c r="AB45" s="28" t="s">
        <v>104</v>
      </c>
      <c r="AC45" s="32">
        <f>2.8*(10^(-15))</f>
        <v>2.8000000000000001E-15</v>
      </c>
      <c r="AH45" s="28" t="s">
        <v>104</v>
      </c>
      <c r="AI45" s="32">
        <f>2.8*(10^(-15))</f>
        <v>2.8000000000000001E-15</v>
      </c>
      <c r="AK45" s="28" t="s">
        <v>104</v>
      </c>
      <c r="AL45" s="32">
        <f>2.8*(10^(-15))</f>
        <v>2.8000000000000001E-15</v>
      </c>
    </row>
    <row r="46" spans="1:39" x14ac:dyDescent="0.2">
      <c r="A46" s="40" t="s">
        <v>148</v>
      </c>
      <c r="B46" s="42">
        <v>5</v>
      </c>
      <c r="C46" s="40" t="s">
        <v>121</v>
      </c>
      <c r="D46" s="28" t="s">
        <v>30</v>
      </c>
      <c r="E46" s="43">
        <f>B18</f>
        <v>0.46277665995975897</v>
      </c>
      <c r="Z46" s="221"/>
      <c r="AC46" s="221"/>
    </row>
    <row r="47" spans="1:39" x14ac:dyDescent="0.2">
      <c r="A47" s="40" t="s">
        <v>149</v>
      </c>
      <c r="B47" s="42">
        <v>10</v>
      </c>
      <c r="C47" s="40" t="s">
        <v>121</v>
      </c>
      <c r="D47" s="54" t="s">
        <v>31</v>
      </c>
      <c r="E47" s="53">
        <f>B32</f>
        <v>666666666</v>
      </c>
      <c r="F47" s="54" t="s">
        <v>32</v>
      </c>
      <c r="I47" s="258" t="s">
        <v>197</v>
      </c>
    </row>
    <row r="48" spans="1:39" x14ac:dyDescent="0.2">
      <c r="A48" s="40" t="s">
        <v>151</v>
      </c>
      <c r="B48" s="55">
        <v>5</v>
      </c>
      <c r="C48" s="28" t="s">
        <v>204</v>
      </c>
      <c r="D48" s="44" t="s">
        <v>98</v>
      </c>
      <c r="E48" s="43">
        <f>PEF!Q2</f>
        <v>37012232.751917742</v>
      </c>
      <c r="F48" s="28" t="s">
        <v>34</v>
      </c>
      <c r="I48" s="258">
        <v>200</v>
      </c>
    </row>
    <row r="49" spans="1:6" x14ac:dyDescent="0.2">
      <c r="A49" s="40" t="s">
        <v>150</v>
      </c>
      <c r="B49" s="55">
        <v>15</v>
      </c>
      <c r="C49" s="28" t="s">
        <v>204</v>
      </c>
      <c r="D49" s="28" t="s">
        <v>33</v>
      </c>
      <c r="E49" s="43">
        <f>PEF!C2</f>
        <v>1365593623.3683286</v>
      </c>
      <c r="F49" s="28" t="s">
        <v>34</v>
      </c>
    </row>
    <row r="50" spans="1:6" x14ac:dyDescent="0.2">
      <c r="A50" s="28" t="s">
        <v>160</v>
      </c>
      <c r="B50" s="55">
        <v>2</v>
      </c>
      <c r="C50" s="28" t="s">
        <v>203</v>
      </c>
      <c r="D50" s="28" t="s">
        <v>102</v>
      </c>
      <c r="E50" s="32">
        <f>B22</f>
        <v>222.01757699999999</v>
      </c>
      <c r="F50" s="28" t="s">
        <v>103</v>
      </c>
    </row>
    <row r="51" spans="1:6" x14ac:dyDescent="0.2">
      <c r="A51" s="28" t="s">
        <v>161</v>
      </c>
      <c r="B51" s="55">
        <v>20</v>
      </c>
      <c r="C51" s="28" t="s">
        <v>203</v>
      </c>
      <c r="D51" s="28" t="s">
        <v>100</v>
      </c>
      <c r="E51" s="207">
        <v>27.027027027027</v>
      </c>
      <c r="F51" s="28" t="s">
        <v>101</v>
      </c>
    </row>
    <row r="52" spans="1:6" x14ac:dyDescent="0.2">
      <c r="A52" s="28" t="s">
        <v>147</v>
      </c>
      <c r="B52" s="55">
        <v>55</v>
      </c>
      <c r="C52" s="28" t="s">
        <v>24</v>
      </c>
      <c r="D52" s="28" t="s">
        <v>104</v>
      </c>
      <c r="E52" s="32">
        <f>2.8*(10^(-15))</f>
        <v>2.8000000000000001E-15</v>
      </c>
    </row>
    <row r="53" spans="1:6" x14ac:dyDescent="0.2">
      <c r="A53" s="28" t="s">
        <v>146</v>
      </c>
      <c r="B53" s="55">
        <v>25</v>
      </c>
      <c r="C53" s="28" t="s">
        <v>24</v>
      </c>
    </row>
    <row r="54" spans="1:6" x14ac:dyDescent="0.2">
      <c r="A54" s="28" t="s">
        <v>163</v>
      </c>
      <c r="B54" s="55">
        <v>0.77</v>
      </c>
      <c r="C54" s="28"/>
      <c r="F54" s="31" t="s">
        <v>196</v>
      </c>
    </row>
    <row r="55" spans="1:6" x14ac:dyDescent="0.2">
      <c r="A55" s="28" t="s">
        <v>164</v>
      </c>
      <c r="B55" s="55">
        <v>0.23</v>
      </c>
      <c r="C55" s="28"/>
      <c r="F55" s="31" t="s">
        <v>95</v>
      </c>
    </row>
    <row r="56" spans="1:6" ht="15" x14ac:dyDescent="0.2">
      <c r="A56" s="428" t="s">
        <v>180</v>
      </c>
      <c r="B56" s="428"/>
      <c r="C56" s="428"/>
      <c r="F56" s="31" t="s">
        <v>96</v>
      </c>
    </row>
    <row r="57" spans="1:6" x14ac:dyDescent="0.2">
      <c r="A57" s="40" t="s">
        <v>133</v>
      </c>
      <c r="B57" s="166">
        <v>55</v>
      </c>
      <c r="C57" s="40" t="s">
        <v>202</v>
      </c>
      <c r="F57" s="31" t="s">
        <v>97</v>
      </c>
    </row>
    <row r="58" spans="1:6" x14ac:dyDescent="0.2">
      <c r="A58" s="40" t="s">
        <v>122</v>
      </c>
      <c r="B58" s="42">
        <v>5</v>
      </c>
      <c r="C58" s="40" t="s">
        <v>203</v>
      </c>
    </row>
    <row r="59" spans="1:6" x14ac:dyDescent="0.2">
      <c r="A59" s="40" t="s">
        <v>185</v>
      </c>
      <c r="B59" s="42">
        <v>5</v>
      </c>
      <c r="C59" s="40" t="s">
        <v>203</v>
      </c>
    </row>
    <row r="60" spans="1:6" x14ac:dyDescent="0.2">
      <c r="A60" s="40" t="s">
        <v>186</v>
      </c>
      <c r="B60" s="42">
        <v>5</v>
      </c>
      <c r="C60" s="40" t="s">
        <v>203</v>
      </c>
    </row>
    <row r="61" spans="1:6" x14ac:dyDescent="0.2">
      <c r="A61" s="40" t="s">
        <v>135</v>
      </c>
      <c r="B61" s="42">
        <v>1</v>
      </c>
      <c r="C61" s="40" t="s">
        <v>10</v>
      </c>
    </row>
    <row r="62" spans="1:6" x14ac:dyDescent="0.2">
      <c r="A62" s="40" t="s">
        <v>136</v>
      </c>
      <c r="B62" s="42">
        <v>55</v>
      </c>
      <c r="C62" s="40" t="s">
        <v>120</v>
      </c>
    </row>
    <row r="63" spans="1:6" x14ac:dyDescent="0.2">
      <c r="A63" s="40" t="s">
        <v>134</v>
      </c>
      <c r="B63" s="42">
        <v>5</v>
      </c>
      <c r="C63" s="40" t="s">
        <v>121</v>
      </c>
    </row>
    <row r="64" spans="1:6" x14ac:dyDescent="0.2">
      <c r="A64" s="40" t="s">
        <v>137</v>
      </c>
      <c r="B64" s="42">
        <v>5</v>
      </c>
      <c r="C64" s="40" t="s">
        <v>204</v>
      </c>
    </row>
    <row r="65" spans="1:3" ht="15" x14ac:dyDescent="0.2">
      <c r="A65" s="429" t="s">
        <v>181</v>
      </c>
      <c r="B65" s="429"/>
      <c r="C65" s="429"/>
    </row>
    <row r="66" spans="1:3" x14ac:dyDescent="0.2">
      <c r="A66" s="40" t="s">
        <v>128</v>
      </c>
      <c r="B66" s="166">
        <v>55</v>
      </c>
      <c r="C66" s="40" t="s">
        <v>202</v>
      </c>
    </row>
    <row r="67" spans="1:3" x14ac:dyDescent="0.2">
      <c r="A67" s="40" t="s">
        <v>122</v>
      </c>
      <c r="B67" s="42">
        <v>5</v>
      </c>
      <c r="C67" s="40" t="s">
        <v>203</v>
      </c>
    </row>
    <row r="68" spans="1:3" x14ac:dyDescent="0.2">
      <c r="A68" s="40" t="s">
        <v>183</v>
      </c>
      <c r="B68" s="42">
        <v>5</v>
      </c>
      <c r="C68" s="40" t="s">
        <v>203</v>
      </c>
    </row>
    <row r="69" spans="1:3" x14ac:dyDescent="0.2">
      <c r="A69" s="40" t="s">
        <v>184</v>
      </c>
      <c r="B69" s="42">
        <v>5</v>
      </c>
      <c r="C69" s="40" t="s">
        <v>203</v>
      </c>
    </row>
    <row r="70" spans="1:3" x14ac:dyDescent="0.2">
      <c r="A70" s="40" t="s">
        <v>129</v>
      </c>
      <c r="B70" s="42">
        <v>1</v>
      </c>
      <c r="C70" s="40" t="s">
        <v>10</v>
      </c>
    </row>
    <row r="71" spans="1:3" x14ac:dyDescent="0.2">
      <c r="A71" s="40" t="s">
        <v>130</v>
      </c>
      <c r="B71" s="42">
        <v>55</v>
      </c>
      <c r="C71" s="40" t="s">
        <v>120</v>
      </c>
    </row>
    <row r="72" spans="1:3" x14ac:dyDescent="0.2">
      <c r="A72" s="40" t="s">
        <v>127</v>
      </c>
      <c r="B72" s="42">
        <v>5</v>
      </c>
      <c r="C72" s="40" t="s">
        <v>121</v>
      </c>
    </row>
    <row r="73" spans="1:3" x14ac:dyDescent="0.2">
      <c r="A73" s="40" t="s">
        <v>131</v>
      </c>
      <c r="B73" s="42">
        <v>5</v>
      </c>
      <c r="C73" s="40" t="s">
        <v>204</v>
      </c>
    </row>
    <row r="74" spans="1:3" ht="15" x14ac:dyDescent="0.2">
      <c r="A74" s="430" t="s">
        <v>182</v>
      </c>
      <c r="B74" s="430"/>
      <c r="C74" s="430"/>
    </row>
    <row r="75" spans="1:3" x14ac:dyDescent="0.2">
      <c r="A75" s="40" t="s">
        <v>13</v>
      </c>
      <c r="B75" s="166">
        <v>55</v>
      </c>
      <c r="C75" s="40" t="s">
        <v>202</v>
      </c>
    </row>
    <row r="76" spans="1:3" x14ac:dyDescent="0.2">
      <c r="A76" s="40" t="s">
        <v>122</v>
      </c>
      <c r="B76" s="42">
        <v>5</v>
      </c>
      <c r="C76" s="40" t="s">
        <v>203</v>
      </c>
    </row>
    <row r="77" spans="1:3" x14ac:dyDescent="0.2">
      <c r="A77" s="40" t="s">
        <v>123</v>
      </c>
      <c r="B77" s="42">
        <v>5</v>
      </c>
      <c r="C77" s="40" t="s">
        <v>203</v>
      </c>
    </row>
    <row r="78" spans="1:3" x14ac:dyDescent="0.2">
      <c r="A78" s="40" t="s">
        <v>124</v>
      </c>
      <c r="B78" s="42">
        <v>5</v>
      </c>
      <c r="C78" s="40" t="s">
        <v>203</v>
      </c>
    </row>
    <row r="79" spans="1:3" x14ac:dyDescent="0.2">
      <c r="A79" s="40" t="s">
        <v>15</v>
      </c>
      <c r="B79" s="42">
        <v>1</v>
      </c>
      <c r="C79" s="40" t="s">
        <v>10</v>
      </c>
    </row>
    <row r="80" spans="1:3" x14ac:dyDescent="0.2">
      <c r="A80" s="40" t="s">
        <v>17</v>
      </c>
      <c r="B80" s="42">
        <v>55</v>
      </c>
      <c r="C80" s="40" t="s">
        <v>120</v>
      </c>
    </row>
    <row r="81" spans="1:3" x14ac:dyDescent="0.2">
      <c r="A81" s="40" t="s">
        <v>12</v>
      </c>
      <c r="B81" s="42">
        <v>5</v>
      </c>
      <c r="C81" s="40" t="s">
        <v>121</v>
      </c>
    </row>
    <row r="82" spans="1:3" x14ac:dyDescent="0.2">
      <c r="A82" s="40" t="s">
        <v>18</v>
      </c>
      <c r="B82" s="42">
        <v>5</v>
      </c>
      <c r="C82" s="40" t="s">
        <v>204</v>
      </c>
    </row>
    <row r="105" spans="1:1" x14ac:dyDescent="0.2">
      <c r="A105" s="28"/>
    </row>
    <row r="106" spans="1:1" x14ac:dyDescent="0.2">
      <c r="A106" s="28"/>
    </row>
  </sheetData>
  <mergeCells count="18">
    <mergeCell ref="A65:C65"/>
    <mergeCell ref="A74:C74"/>
    <mergeCell ref="D1:F1"/>
    <mergeCell ref="G1:I1"/>
    <mergeCell ref="J1:L1"/>
    <mergeCell ref="A34:C34"/>
    <mergeCell ref="A56:C56"/>
    <mergeCell ref="Y1:AA1"/>
    <mergeCell ref="AB1:AD1"/>
    <mergeCell ref="A2:C5"/>
    <mergeCell ref="AE1:AG1"/>
    <mergeCell ref="AH1:AJ1"/>
    <mergeCell ref="AK1:AM1"/>
    <mergeCell ref="A1:C1"/>
    <mergeCell ref="P1:R1"/>
    <mergeCell ref="S1:U1"/>
    <mergeCell ref="V1:X1"/>
    <mergeCell ref="M1:O1"/>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W47"/>
  <sheetViews>
    <sheetView tabSelected="1" zoomScale="80" zoomScaleNormal="80" workbookViewId="0">
      <selection activeCell="E2" sqref="E2"/>
    </sheetView>
  </sheetViews>
  <sheetFormatPr defaultRowHeight="12.75" x14ac:dyDescent="0.2"/>
  <cols>
    <col min="2" max="2" width="10.85546875" bestFit="1" customWidth="1"/>
    <col min="3" max="3" width="10.140625" bestFit="1" customWidth="1"/>
    <col min="4" max="4" width="11.140625" customWidth="1"/>
    <col min="5" max="5" width="13" bestFit="1" customWidth="1"/>
    <col min="6" max="6" width="10.7109375" customWidth="1"/>
    <col min="7" max="7" width="10.140625" bestFit="1" customWidth="1"/>
    <col min="8" max="8" width="11" customWidth="1"/>
    <col min="9" max="9" width="10.140625" bestFit="1" customWidth="1"/>
    <col min="10" max="10" width="11.140625" customWidth="1"/>
    <col min="11" max="11" width="10.140625" bestFit="1" customWidth="1"/>
    <col min="12" max="12" width="13.5703125" bestFit="1" customWidth="1"/>
    <col min="13" max="13" width="12" bestFit="1" customWidth="1"/>
    <col min="14" max="14" width="13.5703125" bestFit="1" customWidth="1"/>
    <col min="15" max="15" width="12" bestFit="1" customWidth="1"/>
    <col min="16" max="16" width="13.5703125" bestFit="1" customWidth="1"/>
    <col min="17" max="17" width="10.140625" bestFit="1" customWidth="1"/>
    <col min="18" max="18" width="13.5703125" bestFit="1" customWidth="1"/>
    <col min="19" max="19" width="10.140625" bestFit="1" customWidth="1"/>
    <col min="20" max="20" width="13.5703125" bestFit="1" customWidth="1"/>
    <col min="21" max="21" width="10.140625" bestFit="1" customWidth="1"/>
    <col min="22" max="22" width="13.5703125" bestFit="1" customWidth="1"/>
    <col min="23" max="23" width="10.140625" bestFit="1" customWidth="1"/>
  </cols>
  <sheetData>
    <row r="1" spans="2:23" ht="18.75" thickBot="1" x14ac:dyDescent="0.3">
      <c r="B1" s="438" t="s">
        <v>33</v>
      </c>
      <c r="C1" s="439"/>
      <c r="D1" s="440" t="s">
        <v>43</v>
      </c>
      <c r="E1" s="441"/>
      <c r="F1" s="441"/>
      <c r="G1" s="441"/>
      <c r="H1" s="442" t="s">
        <v>44</v>
      </c>
      <c r="I1" s="443"/>
      <c r="J1" s="443"/>
      <c r="K1" s="443"/>
      <c r="L1" s="444" t="s">
        <v>45</v>
      </c>
      <c r="M1" s="445"/>
      <c r="N1" s="445"/>
      <c r="O1" s="445"/>
      <c r="P1" s="446" t="s">
        <v>46</v>
      </c>
      <c r="Q1" s="447"/>
      <c r="R1" s="447"/>
      <c r="S1" s="448"/>
      <c r="T1" s="435" t="s">
        <v>47</v>
      </c>
      <c r="U1" s="436"/>
      <c r="V1" s="436"/>
      <c r="W1" s="437"/>
    </row>
    <row r="2" spans="2:23" ht="14.25" thickTop="1" thickBot="1" x14ac:dyDescent="0.25">
      <c r="B2" s="206" t="s">
        <v>193</v>
      </c>
      <c r="C2" s="3">
        <f>C3*(C14/(C15*(1-C5)*((C6/C7)^3)*C9))</f>
        <v>1365593623.3683286</v>
      </c>
      <c r="D2" s="10" t="s">
        <v>48</v>
      </c>
      <c r="E2" s="11">
        <f>E3*(1/E12)*((E17*E14)/(E22*E20*((E18)^0.91)*((E19)^1.02)*(1-(E21/(4*365)))))</f>
        <v>9520180.8385802973</v>
      </c>
      <c r="F2" s="10" t="s">
        <v>49</v>
      </c>
      <c r="G2" s="11">
        <f>G3*(1/G12)*((G17*G14)/(G22*G20*((G18)^0.91)*((G19)^1.02)*(1-(G21/(4*365)))))</f>
        <v>9520180.8385802973</v>
      </c>
      <c r="H2" s="12" t="s">
        <v>50</v>
      </c>
      <c r="I2" s="13">
        <f>I3*(1/I12)*((I17*I14)/(I22*I20*((I18)^0.91)*((I19)^1.02)*(1-(I21/(4*365)))))</f>
        <v>46142766.007587641</v>
      </c>
      <c r="J2" s="12" t="s">
        <v>51</v>
      </c>
      <c r="K2" s="13">
        <f>K3*(1/K12)*((K17*K14)/(K22*K20*((K18)^0.91)*((K19)^1.02)*(1-(K21/(4*365)))))</f>
        <v>46142917.395111896</v>
      </c>
      <c r="L2" s="14" t="s">
        <v>7</v>
      </c>
      <c r="M2" s="15">
        <f>M3*(1/M12)*((M17*M14)/(M23*M21*((M18)^0.91)*((M20)^1.02)*(1-(M22/(4*365)))))</f>
        <v>1114670.500974617</v>
      </c>
      <c r="N2" s="14" t="s">
        <v>8</v>
      </c>
      <c r="O2" s="15">
        <f>O3*(1/O12)*((O17*O14)/(O23*O21*((O18)^0.91)*((O20)^1.02)*(1-(O22/(4*365)))))</f>
        <v>1114670.500974617</v>
      </c>
      <c r="P2" s="16" t="s">
        <v>7</v>
      </c>
      <c r="Q2" s="17">
        <f>Q3*(1/Q12)*((Q17*Q14)/((((Q21*((Q18/12)^1)*((Q20/30)^0.5))/((Q19/0.5)^0.2))-Q33)*((365-Q22)/365)*(281.9/1)*Q23))</f>
        <v>37012232.751917742</v>
      </c>
      <c r="R2" s="16" t="s">
        <v>8</v>
      </c>
      <c r="S2" s="17">
        <f>S3*(1/S12)*((S17*S14)/((((S21*((S18/12)^1)*((S20/30)^0.5))/((S19/0.5)^0.2))-S33)*((365-S22)/365)*(281.9/1)*S23))</f>
        <v>37012232.751917742</v>
      </c>
      <c r="T2" s="18" t="s">
        <v>7</v>
      </c>
      <c r="U2" s="19">
        <f>U3*(1/U12)*((U18*U14)/(U22*((U19/12)^0.9)*((U20/3)^0.45)*((365-U23)/365)*U42*U24))</f>
        <v>17636131.202504292</v>
      </c>
      <c r="V2" s="18" t="s">
        <v>8</v>
      </c>
      <c r="W2" s="19">
        <f>W3*(1/W12)*((W18*W14)/(W22*((W19/12)^0.9)*((W20/3)^0.45)*((365-W23)/365)*W42*W24))</f>
        <v>17636131.202504292</v>
      </c>
    </row>
    <row r="3" spans="2:23" ht="13.5" thickTop="1" x14ac:dyDescent="0.2">
      <c r="B3" s="4" t="s">
        <v>35</v>
      </c>
      <c r="C3" s="5">
        <v>93.77</v>
      </c>
      <c r="D3" s="4" t="s">
        <v>52</v>
      </c>
      <c r="E3" s="202">
        <f>E8*EXP((((LN(E9))-E10)^2)/E11)</f>
        <v>23.017850304789416</v>
      </c>
      <c r="F3" s="203" t="s">
        <v>52</v>
      </c>
      <c r="G3" s="204">
        <f>G8*EXP((((LN(G9))-G10)^2)/G11)</f>
        <v>23.017850304789416</v>
      </c>
      <c r="H3" s="205" t="s">
        <v>52</v>
      </c>
      <c r="I3" s="202">
        <f>I8*EXP(((LN(I9)-I10)^2)/I11)</f>
        <v>23.017850304789416</v>
      </c>
      <c r="J3" s="203" t="s">
        <v>52</v>
      </c>
      <c r="K3" s="204">
        <f>K8*EXP(((LN(K9)-K10)^2)/K11)</f>
        <v>23.017850304789416</v>
      </c>
      <c r="L3" s="235" t="s">
        <v>52</v>
      </c>
      <c r="M3" s="236">
        <f>M8*EXP(((LN(M9)-M10)^2)/M11)</f>
        <v>23.017850304789416</v>
      </c>
      <c r="N3" s="237" t="s">
        <v>52</v>
      </c>
      <c r="O3" s="238">
        <f>O8*EXP(((LN(O9)-O10)^2)/O11)</f>
        <v>23.017850304789416</v>
      </c>
      <c r="P3" s="205" t="s">
        <v>52</v>
      </c>
      <c r="Q3" s="202">
        <f>Q8*EXP((((LN(Q9))-Q10)^2)/Q11)</f>
        <v>23.017850304789416</v>
      </c>
      <c r="R3" s="203" t="s">
        <v>52</v>
      </c>
      <c r="S3" s="204">
        <f>S8*EXP((((LN(S9))-S10)^2)/S11)</f>
        <v>23.017850304789416</v>
      </c>
      <c r="T3" s="205" t="s">
        <v>52</v>
      </c>
      <c r="U3" s="202">
        <f>U8*EXP((((LN(U9))-U10)^2)/U11)</f>
        <v>23.017850304789416</v>
      </c>
      <c r="V3" s="203" t="s">
        <v>52</v>
      </c>
      <c r="W3" s="204">
        <f>W8*EXP((((LN(W9))-W10)^2)/W11)</f>
        <v>23.017850304789416</v>
      </c>
    </row>
    <row r="4" spans="2:23" x14ac:dyDescent="0.2">
      <c r="B4" s="23" t="s">
        <v>192</v>
      </c>
      <c r="C4" s="36">
        <f>C10*EXP((((LN(C11))-C12)^2)/C13)</f>
        <v>93.773582452087695</v>
      </c>
      <c r="D4" s="6" t="s">
        <v>36</v>
      </c>
      <c r="E4" s="20">
        <v>0.5</v>
      </c>
      <c r="F4" s="21" t="s">
        <v>36</v>
      </c>
      <c r="G4" s="22">
        <v>0.5</v>
      </c>
      <c r="H4" s="6" t="s">
        <v>36</v>
      </c>
      <c r="I4" s="20">
        <v>0.5</v>
      </c>
      <c r="J4" s="21" t="s">
        <v>36</v>
      </c>
      <c r="K4" s="22">
        <v>0.5</v>
      </c>
      <c r="L4" s="239" t="s">
        <v>36</v>
      </c>
      <c r="M4" s="240">
        <v>0.5</v>
      </c>
      <c r="N4" s="241" t="s">
        <v>36</v>
      </c>
      <c r="O4" s="242">
        <v>0.5</v>
      </c>
      <c r="P4" s="6" t="s">
        <v>36</v>
      </c>
      <c r="Q4" s="20">
        <v>0.5</v>
      </c>
      <c r="R4" s="21" t="s">
        <v>36</v>
      </c>
      <c r="S4" s="22">
        <v>0.5</v>
      </c>
      <c r="T4" s="6" t="s">
        <v>36</v>
      </c>
      <c r="U4" s="20">
        <v>0.5</v>
      </c>
      <c r="V4" s="21" t="s">
        <v>36</v>
      </c>
      <c r="W4" s="22">
        <v>0.5</v>
      </c>
    </row>
    <row r="5" spans="2:23" x14ac:dyDescent="0.2">
      <c r="B5" s="6" t="s">
        <v>36</v>
      </c>
      <c r="C5" s="7">
        <v>0.5</v>
      </c>
      <c r="D5" s="6" t="s">
        <v>37</v>
      </c>
      <c r="E5" s="20">
        <v>4.6900000000000004</v>
      </c>
      <c r="F5" s="21" t="s">
        <v>37</v>
      </c>
      <c r="G5" s="22">
        <v>4.6900000000000004</v>
      </c>
      <c r="H5" s="6" t="s">
        <v>37</v>
      </c>
      <c r="I5" s="20">
        <v>4.6900000000000004</v>
      </c>
      <c r="J5" s="21" t="s">
        <v>37</v>
      </c>
      <c r="K5" s="22">
        <v>4.6900000000000004</v>
      </c>
      <c r="L5" s="239" t="s">
        <v>37</v>
      </c>
      <c r="M5" s="240">
        <v>4.6900000000000004</v>
      </c>
      <c r="N5" s="241" t="s">
        <v>37</v>
      </c>
      <c r="O5" s="242">
        <v>4.6900000000000004</v>
      </c>
      <c r="P5" s="6" t="s">
        <v>37</v>
      </c>
      <c r="Q5" s="20">
        <v>4.6900000000000004</v>
      </c>
      <c r="R5" s="21" t="s">
        <v>37</v>
      </c>
      <c r="S5" s="22">
        <v>4.6900000000000004</v>
      </c>
      <c r="T5" s="6" t="s">
        <v>37</v>
      </c>
      <c r="U5" s="20">
        <v>4.6900000000000004</v>
      </c>
      <c r="V5" s="21" t="s">
        <v>37</v>
      </c>
      <c r="W5" s="22">
        <v>4.6900000000000004</v>
      </c>
    </row>
    <row r="6" spans="2:23" x14ac:dyDescent="0.2">
      <c r="B6" s="6" t="s">
        <v>37</v>
      </c>
      <c r="C6" s="7">
        <v>4.6900000000000004</v>
      </c>
      <c r="D6" s="6" t="s">
        <v>38</v>
      </c>
      <c r="E6" s="20">
        <v>11.32</v>
      </c>
      <c r="F6" s="21" t="s">
        <v>38</v>
      </c>
      <c r="G6" s="22">
        <v>11.32</v>
      </c>
      <c r="H6" s="6" t="s">
        <v>38</v>
      </c>
      <c r="I6" s="20">
        <v>11.32</v>
      </c>
      <c r="J6" s="21" t="s">
        <v>38</v>
      </c>
      <c r="K6" s="22">
        <v>11.32</v>
      </c>
      <c r="L6" s="239" t="s">
        <v>38</v>
      </c>
      <c r="M6" s="240">
        <v>11.32</v>
      </c>
      <c r="N6" s="241" t="s">
        <v>38</v>
      </c>
      <c r="O6" s="242">
        <v>11.32</v>
      </c>
      <c r="P6" s="6" t="s">
        <v>38</v>
      </c>
      <c r="Q6" s="20">
        <v>11.32</v>
      </c>
      <c r="R6" s="21" t="s">
        <v>38</v>
      </c>
      <c r="S6" s="22">
        <v>11.32</v>
      </c>
      <c r="T6" s="6" t="s">
        <v>38</v>
      </c>
      <c r="U6" s="20">
        <v>11.32</v>
      </c>
      <c r="V6" s="21" t="s">
        <v>38</v>
      </c>
      <c r="W6" s="22">
        <v>11.32</v>
      </c>
    </row>
    <row r="7" spans="2:23" x14ac:dyDescent="0.2">
      <c r="B7" s="6" t="s">
        <v>38</v>
      </c>
      <c r="C7" s="7">
        <v>11.32</v>
      </c>
      <c r="D7" s="6" t="s">
        <v>39</v>
      </c>
      <c r="E7" s="20">
        <v>0.19400000000000001</v>
      </c>
      <c r="F7" s="21" t="s">
        <v>39</v>
      </c>
      <c r="G7" s="22">
        <v>0.19400000000000001</v>
      </c>
      <c r="H7" s="6" t="s">
        <v>39</v>
      </c>
      <c r="I7" s="20">
        <v>0.19400000000000001</v>
      </c>
      <c r="J7" s="21" t="s">
        <v>39</v>
      </c>
      <c r="K7" s="22">
        <v>0.19400000000000001</v>
      </c>
      <c r="L7" s="239" t="s">
        <v>39</v>
      </c>
      <c r="M7" s="240">
        <v>0.19400000000000001</v>
      </c>
      <c r="N7" s="241" t="s">
        <v>39</v>
      </c>
      <c r="O7" s="242">
        <v>0.19400000000000001</v>
      </c>
      <c r="P7" s="6" t="s">
        <v>39</v>
      </c>
      <c r="Q7" s="20">
        <v>0.19400000000000001</v>
      </c>
      <c r="R7" s="21" t="s">
        <v>39</v>
      </c>
      <c r="S7" s="22">
        <v>0.19400000000000001</v>
      </c>
      <c r="T7" s="6" t="s">
        <v>39</v>
      </c>
      <c r="U7" s="20">
        <v>0.19400000000000001</v>
      </c>
      <c r="V7" s="21" t="s">
        <v>39</v>
      </c>
      <c r="W7" s="22">
        <v>0.19400000000000001</v>
      </c>
    </row>
    <row r="8" spans="2:23" x14ac:dyDescent="0.2">
      <c r="B8" s="34" t="s">
        <v>111</v>
      </c>
      <c r="C8" s="36">
        <f>0.886*(C7/C6)</f>
        <v>2.1384904051172708</v>
      </c>
      <c r="D8" s="6" t="s">
        <v>40</v>
      </c>
      <c r="E8" s="20">
        <v>12.9351</v>
      </c>
      <c r="F8" s="21" t="s">
        <v>40</v>
      </c>
      <c r="G8" s="20">
        <v>12.9351</v>
      </c>
      <c r="H8" s="6" t="s">
        <v>40</v>
      </c>
      <c r="I8" s="20">
        <v>12.9351</v>
      </c>
      <c r="J8" s="21" t="s">
        <v>40</v>
      </c>
      <c r="K8" s="20">
        <v>12.9351</v>
      </c>
      <c r="L8" s="239" t="s">
        <v>40</v>
      </c>
      <c r="M8" s="240">
        <v>12.9351</v>
      </c>
      <c r="N8" s="241" t="s">
        <v>40</v>
      </c>
      <c r="O8" s="240">
        <v>12.9351</v>
      </c>
      <c r="P8" s="6" t="s">
        <v>40</v>
      </c>
      <c r="Q8" s="20">
        <v>12.9351</v>
      </c>
      <c r="R8" s="21" t="s">
        <v>40</v>
      </c>
      <c r="S8" s="20">
        <v>12.9351</v>
      </c>
      <c r="T8" s="6" t="s">
        <v>40</v>
      </c>
      <c r="U8" s="20">
        <v>12.9351</v>
      </c>
      <c r="V8" s="21" t="s">
        <v>40</v>
      </c>
      <c r="W8" s="22">
        <v>12.9351</v>
      </c>
    </row>
    <row r="9" spans="2:23" x14ac:dyDescent="0.2">
      <c r="B9" s="6" t="s">
        <v>39</v>
      </c>
      <c r="C9" s="35">
        <f>IF(C8&lt;2,(1.91207-(0.0278085*C8)+(0.48113*(C8^2))-(1.09871*(C8^3))+(0.335341*(C8^4))),(0.18*((8*(C8^3))+(12*C8))*EXP(-1*C8^2)))</f>
        <v>0.1931048510223578</v>
      </c>
      <c r="D9" s="6" t="s">
        <v>41</v>
      </c>
      <c r="E9" s="20">
        <v>0.5</v>
      </c>
      <c r="F9" s="21" t="s">
        <v>41</v>
      </c>
      <c r="G9" s="20">
        <v>0.5</v>
      </c>
      <c r="H9" s="6" t="s">
        <v>41</v>
      </c>
      <c r="I9" s="20">
        <v>0.5</v>
      </c>
      <c r="J9" s="21" t="s">
        <v>41</v>
      </c>
      <c r="K9" s="20">
        <v>0.5</v>
      </c>
      <c r="L9" s="239" t="s">
        <v>41</v>
      </c>
      <c r="M9" s="240">
        <v>0.5</v>
      </c>
      <c r="N9" s="241" t="s">
        <v>41</v>
      </c>
      <c r="O9" s="240">
        <v>0.5</v>
      </c>
      <c r="P9" s="6" t="s">
        <v>41</v>
      </c>
      <c r="Q9" s="20">
        <v>0.5</v>
      </c>
      <c r="R9" s="21" t="s">
        <v>41</v>
      </c>
      <c r="S9" s="20">
        <v>0.5</v>
      </c>
      <c r="T9" s="6" t="s">
        <v>41</v>
      </c>
      <c r="U9" s="20">
        <v>0.5</v>
      </c>
      <c r="V9" s="21" t="s">
        <v>41</v>
      </c>
      <c r="W9" s="22">
        <v>0.5</v>
      </c>
    </row>
    <row r="10" spans="2:23" x14ac:dyDescent="0.2">
      <c r="B10" s="6" t="s">
        <v>40</v>
      </c>
      <c r="C10" s="7">
        <v>16.2302</v>
      </c>
      <c r="D10" s="6" t="s">
        <v>42</v>
      </c>
      <c r="E10" s="20">
        <v>5.7382999999999997</v>
      </c>
      <c r="F10" s="21" t="s">
        <v>42</v>
      </c>
      <c r="G10" s="20">
        <v>5.7382999999999997</v>
      </c>
      <c r="H10" s="6" t="s">
        <v>42</v>
      </c>
      <c r="I10" s="20">
        <v>5.7382999999999997</v>
      </c>
      <c r="J10" s="21" t="s">
        <v>42</v>
      </c>
      <c r="K10" s="20">
        <v>5.7382999999999997</v>
      </c>
      <c r="L10" s="239" t="s">
        <v>42</v>
      </c>
      <c r="M10" s="240">
        <v>5.7382999999999997</v>
      </c>
      <c r="N10" s="241" t="s">
        <v>42</v>
      </c>
      <c r="O10" s="240">
        <v>5.7382999999999997</v>
      </c>
      <c r="P10" s="6" t="s">
        <v>42</v>
      </c>
      <c r="Q10" s="20">
        <v>5.7382999999999997</v>
      </c>
      <c r="R10" s="21" t="s">
        <v>42</v>
      </c>
      <c r="S10" s="20">
        <v>5.7382999999999997</v>
      </c>
      <c r="T10" s="6" t="s">
        <v>42</v>
      </c>
      <c r="U10" s="20">
        <v>5.7382999999999997</v>
      </c>
      <c r="V10" s="21" t="s">
        <v>42</v>
      </c>
      <c r="W10" s="22">
        <v>5.7382999999999997</v>
      </c>
    </row>
    <row r="11" spans="2:23" x14ac:dyDescent="0.2">
      <c r="B11" s="6" t="s">
        <v>41</v>
      </c>
      <c r="C11" s="7">
        <v>0.5</v>
      </c>
      <c r="D11" s="6" t="s">
        <v>0</v>
      </c>
      <c r="E11" s="20">
        <v>71.771100000000004</v>
      </c>
      <c r="F11" s="21" t="s">
        <v>0</v>
      </c>
      <c r="G11" s="20">
        <v>71.771100000000004</v>
      </c>
      <c r="H11" s="6" t="s">
        <v>0</v>
      </c>
      <c r="I11" s="20">
        <v>71.771100000000004</v>
      </c>
      <c r="J11" s="21" t="s">
        <v>0</v>
      </c>
      <c r="K11" s="20">
        <v>71.771100000000004</v>
      </c>
      <c r="L11" s="239" t="s">
        <v>0</v>
      </c>
      <c r="M11" s="240">
        <v>71.771100000000004</v>
      </c>
      <c r="N11" s="241" t="s">
        <v>0</v>
      </c>
      <c r="O11" s="240">
        <v>71.771100000000004</v>
      </c>
      <c r="P11" s="6" t="s">
        <v>0</v>
      </c>
      <c r="Q11" s="20">
        <v>71.771100000000004</v>
      </c>
      <c r="R11" s="21" t="s">
        <v>0</v>
      </c>
      <c r="S11" s="20">
        <v>71.771100000000004</v>
      </c>
      <c r="T11" s="6" t="s">
        <v>0</v>
      </c>
      <c r="U11" s="20">
        <v>71.771100000000004</v>
      </c>
      <c r="V11" s="21" t="s">
        <v>0</v>
      </c>
      <c r="W11" s="22">
        <v>71.771100000000004</v>
      </c>
    </row>
    <row r="12" spans="2:23" x14ac:dyDescent="0.2">
      <c r="B12" s="6" t="s">
        <v>42</v>
      </c>
      <c r="C12" s="7">
        <v>18.776199999999999</v>
      </c>
      <c r="D12" s="193" t="s">
        <v>53</v>
      </c>
      <c r="E12" s="192">
        <f>E29+(E30/E13)+(E31/(E13^2))</f>
        <v>0.18581102745199224</v>
      </c>
      <c r="F12" s="194" t="s">
        <v>53</v>
      </c>
      <c r="G12" s="195">
        <f>G29+(G30/G13)+(G31/(G13^2))</f>
        <v>0.18581102745199224</v>
      </c>
      <c r="H12" s="193" t="s">
        <v>53</v>
      </c>
      <c r="I12" s="192">
        <f>I29+(I30/I13)+(I31/(I13^2))</f>
        <v>0.18581102745199224</v>
      </c>
      <c r="J12" s="194" t="s">
        <v>53</v>
      </c>
      <c r="K12" s="195">
        <f>K29+(K30/K13)+(K31/(K13^2))</f>
        <v>0.18581102745199224</v>
      </c>
      <c r="L12" s="243" t="s">
        <v>53</v>
      </c>
      <c r="M12" s="244">
        <f>M35+(M36/M13)+(M37/(M13^2))</f>
        <v>0.18581102745199224</v>
      </c>
      <c r="N12" s="245" t="s">
        <v>53</v>
      </c>
      <c r="O12" s="246">
        <f>O35+(O36/O13)+(O37/(O13^2))</f>
        <v>0.18581102745199224</v>
      </c>
      <c r="P12" s="193" t="s">
        <v>53</v>
      </c>
      <c r="Q12" s="192">
        <f>Q36+(Q37/Q13)+(Q38/(Q13^2))</f>
        <v>0.18581102745199224</v>
      </c>
      <c r="R12" s="194" t="s">
        <v>53</v>
      </c>
      <c r="S12" s="195">
        <f>S36+(S37/S13)+(S38/(S13^2))</f>
        <v>0.18581102745199224</v>
      </c>
      <c r="T12" s="193" t="s">
        <v>53</v>
      </c>
      <c r="U12" s="192">
        <f>U37+(U38/U13)+(U39/(U13^2))</f>
        <v>0.18581102745199224</v>
      </c>
      <c r="V12" s="194" t="s">
        <v>53</v>
      </c>
      <c r="W12" s="195">
        <f>W37+(W38/W13)+(W39/(W13^2))</f>
        <v>0.18581102745199224</v>
      </c>
    </row>
    <row r="13" spans="2:23" x14ac:dyDescent="0.2">
      <c r="B13" s="6" t="s">
        <v>0</v>
      </c>
      <c r="C13" s="7">
        <v>216.108</v>
      </c>
      <c r="D13" s="6" t="s">
        <v>54</v>
      </c>
      <c r="E13" s="20">
        <f>E26*365*24</f>
        <v>8760</v>
      </c>
      <c r="F13" s="21" t="s">
        <v>54</v>
      </c>
      <c r="G13" s="22">
        <f>G26*365*24</f>
        <v>8760</v>
      </c>
      <c r="H13" s="6" t="s">
        <v>54</v>
      </c>
      <c r="I13" s="20">
        <f>I26*365*24</f>
        <v>8760</v>
      </c>
      <c r="J13" s="21" t="s">
        <v>54</v>
      </c>
      <c r="K13" s="22">
        <f>K26*365*24</f>
        <v>8760</v>
      </c>
      <c r="L13" s="239" t="s">
        <v>54</v>
      </c>
      <c r="M13" s="240">
        <f>M33*365*24</f>
        <v>8760</v>
      </c>
      <c r="N13" s="241" t="s">
        <v>54</v>
      </c>
      <c r="O13" s="242">
        <f>O33*365*24</f>
        <v>8760</v>
      </c>
      <c r="P13" s="6" t="s">
        <v>54</v>
      </c>
      <c r="Q13" s="20">
        <f>Q35*365*24</f>
        <v>8760</v>
      </c>
      <c r="R13" s="21" t="s">
        <v>54</v>
      </c>
      <c r="S13" s="22">
        <f>S35*365*24</f>
        <v>8760</v>
      </c>
      <c r="T13" s="6" t="s">
        <v>54</v>
      </c>
      <c r="U13" s="20">
        <f>U36*365*24</f>
        <v>8760</v>
      </c>
      <c r="V13" s="21" t="s">
        <v>54</v>
      </c>
      <c r="W13" s="22">
        <f>W36*365*24</f>
        <v>8760</v>
      </c>
    </row>
    <row r="14" spans="2:23" x14ac:dyDescent="0.2">
      <c r="B14" s="6"/>
      <c r="C14" s="7">
        <v>3600</v>
      </c>
      <c r="D14" s="198" t="s">
        <v>55</v>
      </c>
      <c r="E14" s="199">
        <f>E15*E16*E32</f>
        <v>274.21339877220282</v>
      </c>
      <c r="F14" s="200" t="s">
        <v>55</v>
      </c>
      <c r="G14" s="201">
        <f>G15*G16*G32</f>
        <v>274.21339877220282</v>
      </c>
      <c r="H14" s="198" t="s">
        <v>55</v>
      </c>
      <c r="I14" s="199">
        <f>I15*I16*I32</f>
        <v>274.21339877220282</v>
      </c>
      <c r="J14" s="200" t="s">
        <v>55</v>
      </c>
      <c r="K14" s="201">
        <f>K15*K16*K32</f>
        <v>274.21339877220282</v>
      </c>
      <c r="L14" s="247" t="s">
        <v>55</v>
      </c>
      <c r="M14" s="248">
        <f>M15*M16*M38</f>
        <v>274.21339877220282</v>
      </c>
      <c r="N14" s="249" t="s">
        <v>55</v>
      </c>
      <c r="O14" s="250">
        <f>O15*O16*O38</f>
        <v>274.21339877220282</v>
      </c>
      <c r="P14" s="198" t="s">
        <v>55</v>
      </c>
      <c r="Q14" s="199">
        <f>Q15*Q16*Q39</f>
        <v>274.21339877220282</v>
      </c>
      <c r="R14" s="200" t="s">
        <v>55</v>
      </c>
      <c r="S14" s="201">
        <f>S15*S16*S39</f>
        <v>274.21339877220282</v>
      </c>
      <c r="T14" s="198" t="s">
        <v>55</v>
      </c>
      <c r="U14" s="199">
        <f>U15*U16*T17</f>
        <v>274.21339877220282</v>
      </c>
      <c r="V14" s="200" t="s">
        <v>55</v>
      </c>
      <c r="W14" s="201">
        <f>W15*W16*V17</f>
        <v>274.21339877220282</v>
      </c>
    </row>
    <row r="15" spans="2:23" ht="13.5" thickBot="1" x14ac:dyDescent="0.25">
      <c r="B15" s="8"/>
      <c r="C15" s="9">
        <v>3.5999999999999997E-2</v>
      </c>
      <c r="D15" s="6" t="s">
        <v>56</v>
      </c>
      <c r="E15" s="20">
        <v>147.580486514</v>
      </c>
      <c r="F15" s="21" t="s">
        <v>56</v>
      </c>
      <c r="G15" s="22">
        <v>147.580486514</v>
      </c>
      <c r="H15" s="6" t="s">
        <v>56</v>
      </c>
      <c r="I15" s="20">
        <v>147.580486514</v>
      </c>
      <c r="J15" s="21" t="s">
        <v>56</v>
      </c>
      <c r="K15" s="22">
        <v>147.580486514</v>
      </c>
      <c r="L15" s="239" t="s">
        <v>56</v>
      </c>
      <c r="M15" s="240">
        <v>147.580486514</v>
      </c>
      <c r="N15" s="241" t="s">
        <v>56</v>
      </c>
      <c r="O15" s="242">
        <v>147.580486514</v>
      </c>
      <c r="P15" s="6" t="s">
        <v>56</v>
      </c>
      <c r="Q15" s="20">
        <v>147.580486514</v>
      </c>
      <c r="R15" s="21" t="s">
        <v>56</v>
      </c>
      <c r="S15" s="22">
        <v>147.580486514</v>
      </c>
      <c r="T15" s="6" t="s">
        <v>56</v>
      </c>
      <c r="U15" s="20">
        <v>147.580486514</v>
      </c>
      <c r="V15" s="21" t="s">
        <v>56</v>
      </c>
      <c r="W15" s="22">
        <v>147.580486514</v>
      </c>
    </row>
    <row r="16" spans="2:23" ht="13.5" thickTop="1" x14ac:dyDescent="0.2">
      <c r="D16" s="6" t="s">
        <v>57</v>
      </c>
      <c r="E16" s="20">
        <v>20</v>
      </c>
      <c r="F16" s="21" t="s">
        <v>57</v>
      </c>
      <c r="G16" s="22">
        <v>20</v>
      </c>
      <c r="H16" s="6" t="s">
        <v>57</v>
      </c>
      <c r="I16" s="20">
        <v>20</v>
      </c>
      <c r="J16" s="21" t="s">
        <v>57</v>
      </c>
      <c r="K16" s="22">
        <v>20</v>
      </c>
      <c r="L16" s="239" t="s">
        <v>57</v>
      </c>
      <c r="M16" s="240">
        <v>20</v>
      </c>
      <c r="N16" s="241" t="s">
        <v>57</v>
      </c>
      <c r="O16" s="242">
        <v>20</v>
      </c>
      <c r="P16" s="6" t="s">
        <v>57</v>
      </c>
      <c r="Q16" s="20">
        <v>20</v>
      </c>
      <c r="R16" s="21" t="s">
        <v>57</v>
      </c>
      <c r="S16" s="22">
        <v>20</v>
      </c>
      <c r="T16" s="6" t="s">
        <v>57</v>
      </c>
      <c r="U16" s="20">
        <v>20</v>
      </c>
      <c r="V16" s="21" t="s">
        <v>57</v>
      </c>
      <c r="W16" s="22">
        <v>20</v>
      </c>
    </row>
    <row r="17" spans="4:23" x14ac:dyDescent="0.2">
      <c r="D17" s="6" t="s">
        <v>58</v>
      </c>
      <c r="E17" s="20">
        <f>E26*365*24*60*60</f>
        <v>31536000</v>
      </c>
      <c r="F17" s="21" t="s">
        <v>58</v>
      </c>
      <c r="G17" s="22">
        <f>G26*365*24*60*60</f>
        <v>31536000</v>
      </c>
      <c r="H17" s="6" t="s">
        <v>58</v>
      </c>
      <c r="I17" s="20">
        <f>I26*365*24*60*60</f>
        <v>31536000</v>
      </c>
      <c r="J17" s="21" t="s">
        <v>58</v>
      </c>
      <c r="K17" s="22">
        <f>K26*365*24*60*60</f>
        <v>31536000</v>
      </c>
      <c r="L17" s="239" t="s">
        <v>58</v>
      </c>
      <c r="M17" s="240">
        <f>M33*365*24*60*60</f>
        <v>31536000</v>
      </c>
      <c r="N17" s="241" t="s">
        <v>58</v>
      </c>
      <c r="O17" s="242">
        <f>O33*365*24*60*60</f>
        <v>31536000</v>
      </c>
      <c r="P17" s="6" t="s">
        <v>58</v>
      </c>
      <c r="Q17" s="20">
        <f>Q35*365*24*60*60</f>
        <v>31536000</v>
      </c>
      <c r="R17" s="21" t="s">
        <v>58</v>
      </c>
      <c r="S17" s="22">
        <f>S35*365*24*60*60</f>
        <v>31536000</v>
      </c>
      <c r="T17" s="6">
        <v>9.2902999999999999E-2</v>
      </c>
      <c r="U17" s="20"/>
      <c r="V17" s="21">
        <v>9.2902999999999999E-2</v>
      </c>
      <c r="W17" s="22"/>
    </row>
    <row r="18" spans="4:23" x14ac:dyDescent="0.2">
      <c r="D18" s="6" t="s">
        <v>59</v>
      </c>
      <c r="E18" s="20">
        <v>1.4999999999999999E-2</v>
      </c>
      <c r="F18" s="21" t="s">
        <v>59</v>
      </c>
      <c r="G18" s="22">
        <v>1.4999999999999999E-2</v>
      </c>
      <c r="H18" s="6" t="s">
        <v>59</v>
      </c>
      <c r="I18" s="20">
        <v>1.4999999999999999E-2</v>
      </c>
      <c r="J18" s="21" t="s">
        <v>59</v>
      </c>
      <c r="K18" s="22">
        <v>1.4999999999999999E-2</v>
      </c>
      <c r="L18" s="239" t="s">
        <v>59</v>
      </c>
      <c r="M18" s="240">
        <v>1.4999999999999999E-2</v>
      </c>
      <c r="N18" s="241" t="s">
        <v>59</v>
      </c>
      <c r="O18" s="242">
        <v>1.4999999999999999E-2</v>
      </c>
      <c r="P18" s="6" t="s">
        <v>60</v>
      </c>
      <c r="Q18" s="20">
        <v>8.5</v>
      </c>
      <c r="R18" s="21" t="s">
        <v>60</v>
      </c>
      <c r="S18" s="22">
        <v>8.5</v>
      </c>
      <c r="T18" s="6" t="s">
        <v>58</v>
      </c>
      <c r="U18" s="20">
        <f>U36*365*24*60*60</f>
        <v>31536000</v>
      </c>
      <c r="V18" s="21" t="s">
        <v>58</v>
      </c>
      <c r="W18" s="22">
        <f>W36*365*24*60*60</f>
        <v>31536000</v>
      </c>
    </row>
    <row r="19" spans="4:23" x14ac:dyDescent="0.2">
      <c r="D19" s="6" t="s">
        <v>61</v>
      </c>
      <c r="E19" s="20">
        <v>3.2</v>
      </c>
      <c r="F19" s="21" t="s">
        <v>61</v>
      </c>
      <c r="G19" s="22">
        <v>3.2</v>
      </c>
      <c r="H19" s="6" t="s">
        <v>61</v>
      </c>
      <c r="I19" s="20">
        <v>3.2</v>
      </c>
      <c r="J19" s="21" t="s">
        <v>61</v>
      </c>
      <c r="K19" s="22">
        <v>3.2</v>
      </c>
      <c r="L19" s="239" t="s">
        <v>62</v>
      </c>
      <c r="M19" s="240">
        <v>7.9</v>
      </c>
      <c r="N19" s="241" t="s">
        <v>62</v>
      </c>
      <c r="O19" s="242">
        <v>7.9</v>
      </c>
      <c r="P19" s="6" t="s">
        <v>62</v>
      </c>
      <c r="Q19" s="20">
        <v>7.9</v>
      </c>
      <c r="R19" s="21" t="s">
        <v>62</v>
      </c>
      <c r="S19" s="22">
        <v>7.9</v>
      </c>
      <c r="T19" s="6" t="s">
        <v>60</v>
      </c>
      <c r="U19" s="20">
        <v>8.5000000000000006E-2</v>
      </c>
      <c r="V19" s="21" t="s">
        <v>60</v>
      </c>
      <c r="W19" s="22">
        <v>8.5000000000000006E-2</v>
      </c>
    </row>
    <row r="20" spans="4:23" x14ac:dyDescent="0.2">
      <c r="D20" s="6" t="s">
        <v>64</v>
      </c>
      <c r="E20" s="20">
        <v>0.62</v>
      </c>
      <c r="F20" s="21" t="s">
        <v>64</v>
      </c>
      <c r="G20" s="22">
        <v>0.62</v>
      </c>
      <c r="H20" s="6" t="s">
        <v>64</v>
      </c>
      <c r="I20" s="20">
        <v>0.62</v>
      </c>
      <c r="J20" s="21" t="s">
        <v>64</v>
      </c>
      <c r="K20" s="22">
        <v>0.62</v>
      </c>
      <c r="L20" s="239" t="s">
        <v>61</v>
      </c>
      <c r="M20" s="240">
        <f>((M24*M25)+(M26*M27))/M28</f>
        <v>6.5</v>
      </c>
      <c r="N20" s="241" t="s">
        <v>61</v>
      </c>
      <c r="O20" s="242">
        <f>((O24*O25)+(O26*O27))/O28</f>
        <v>6.5</v>
      </c>
      <c r="P20" s="6" t="s">
        <v>63</v>
      </c>
      <c r="Q20" s="20">
        <v>55</v>
      </c>
      <c r="R20" s="21" t="s">
        <v>63</v>
      </c>
      <c r="S20" s="22">
        <v>55</v>
      </c>
      <c r="T20" s="6" t="s">
        <v>61</v>
      </c>
      <c r="U20" s="20">
        <f>((U25*U26)+(U27*U28))/(U25+U27)</f>
        <v>11</v>
      </c>
      <c r="V20" s="21" t="s">
        <v>61</v>
      </c>
      <c r="W20" s="22">
        <f>((W25*W26)+(W27*W28))/(W25+W27)</f>
        <v>11</v>
      </c>
    </row>
    <row r="21" spans="4:23" x14ac:dyDescent="0.2">
      <c r="D21" s="6" t="s">
        <v>66</v>
      </c>
      <c r="E21" s="20">
        <v>150</v>
      </c>
      <c r="F21" s="21" t="s">
        <v>66</v>
      </c>
      <c r="G21" s="22">
        <v>150</v>
      </c>
      <c r="H21" s="6" t="s">
        <v>66</v>
      </c>
      <c r="I21" s="20">
        <v>150</v>
      </c>
      <c r="J21" s="21" t="s">
        <v>66</v>
      </c>
      <c r="K21" s="22">
        <v>150</v>
      </c>
      <c r="L21" s="239" t="s">
        <v>64</v>
      </c>
      <c r="M21" s="240">
        <v>0.62</v>
      </c>
      <c r="N21" s="241" t="s">
        <v>64</v>
      </c>
      <c r="O21" s="242">
        <v>0.62</v>
      </c>
      <c r="P21" s="6" t="s">
        <v>65</v>
      </c>
      <c r="Q21" s="20">
        <v>1.8</v>
      </c>
      <c r="R21" s="21" t="s">
        <v>65</v>
      </c>
      <c r="S21" s="22">
        <v>1.8</v>
      </c>
      <c r="T21" s="6" t="s">
        <v>63</v>
      </c>
      <c r="U21" s="20">
        <v>55</v>
      </c>
      <c r="V21" s="21" t="s">
        <v>63</v>
      </c>
      <c r="W21" s="22">
        <v>55</v>
      </c>
    </row>
    <row r="22" spans="4:23" x14ac:dyDescent="0.2">
      <c r="D22" s="196" t="s">
        <v>167</v>
      </c>
      <c r="E22" s="192">
        <f>((E23*E24)/E25)*E26</f>
        <v>2821221.6255187411</v>
      </c>
      <c r="F22" s="196" t="s">
        <v>167</v>
      </c>
      <c r="G22" s="195">
        <f>((G23*G24)/G25)*G26</f>
        <v>2821221.6255187411</v>
      </c>
      <c r="H22" s="196" t="s">
        <v>167</v>
      </c>
      <c r="I22" s="192">
        <f>((I23*I24)/I25)*I26</f>
        <v>582074.77324257733</v>
      </c>
      <c r="J22" s="196" t="s">
        <v>167</v>
      </c>
      <c r="K22" s="195">
        <f>((K23*K24)/K25)*K26</f>
        <v>582072.86354843946</v>
      </c>
      <c r="L22" s="239" t="s">
        <v>66</v>
      </c>
      <c r="M22" s="240">
        <v>150</v>
      </c>
      <c r="N22" s="241" t="s">
        <v>66</v>
      </c>
      <c r="O22" s="242">
        <v>150</v>
      </c>
      <c r="P22" s="6" t="s">
        <v>66</v>
      </c>
      <c r="Q22" s="20">
        <v>150</v>
      </c>
      <c r="R22" s="21" t="s">
        <v>66</v>
      </c>
      <c r="S22" s="22">
        <v>150</v>
      </c>
      <c r="T22" s="6" t="s">
        <v>67</v>
      </c>
      <c r="U22" s="20">
        <v>1.5</v>
      </c>
      <c r="V22" s="21" t="s">
        <v>67</v>
      </c>
      <c r="W22" s="22">
        <v>1.5</v>
      </c>
    </row>
    <row r="23" spans="4:23" x14ac:dyDescent="0.2">
      <c r="D23" s="193" t="s">
        <v>68</v>
      </c>
      <c r="E23" s="192">
        <f>E15*0.000304799</f>
        <v>4.4982384708980687E-2</v>
      </c>
      <c r="F23" s="194" t="s">
        <v>68</v>
      </c>
      <c r="G23" s="195">
        <f>G15*0.000304799</f>
        <v>4.4982384708980687E-2</v>
      </c>
      <c r="H23" s="193" t="s">
        <v>68</v>
      </c>
      <c r="I23" s="192">
        <f>I15*0.0003048</f>
        <v>4.4982532289467199E-2</v>
      </c>
      <c r="J23" s="194" t="s">
        <v>68</v>
      </c>
      <c r="K23" s="195">
        <f>K15*0.000304799</f>
        <v>4.4982384708980687E-2</v>
      </c>
      <c r="L23" s="251" t="s">
        <v>167</v>
      </c>
      <c r="M23" s="252">
        <f>M28*M29*M30*M31*M32*M33</f>
        <v>11695458.39526147</v>
      </c>
      <c r="N23" s="251" t="s">
        <v>167</v>
      </c>
      <c r="O23" s="246">
        <f>O28*O29*O30*O31*O32*O33</f>
        <v>11695458.39526147</v>
      </c>
      <c r="P23" s="24" t="s">
        <v>167</v>
      </c>
      <c r="Q23" s="192">
        <f>Q28*Q29*Q30*Q31*Q32*Q35</f>
        <v>175.43187592892207</v>
      </c>
      <c r="R23" s="24" t="s">
        <v>167</v>
      </c>
      <c r="S23" s="195">
        <f>S28*S29*S30*S31*S32*S35</f>
        <v>175.43187592892207</v>
      </c>
      <c r="T23" s="6" t="s">
        <v>66</v>
      </c>
      <c r="U23" s="20">
        <v>150</v>
      </c>
      <c r="V23" s="21" t="s">
        <v>66</v>
      </c>
      <c r="W23" s="22">
        <v>150</v>
      </c>
    </row>
    <row r="24" spans="4:23" x14ac:dyDescent="0.2">
      <c r="D24" s="23" t="s">
        <v>70</v>
      </c>
      <c r="E24" s="192">
        <v>112015000000</v>
      </c>
      <c r="F24" s="196" t="s">
        <v>70</v>
      </c>
      <c r="G24" s="195">
        <v>112015000000</v>
      </c>
      <c r="H24" s="197" t="s">
        <v>71</v>
      </c>
      <c r="I24" s="192">
        <v>14454000000</v>
      </c>
      <c r="J24" s="196" t="s">
        <v>71</v>
      </c>
      <c r="K24" s="195">
        <v>14454000000</v>
      </c>
      <c r="L24" s="239" t="s">
        <v>69</v>
      </c>
      <c r="M24" s="240">
        <v>1000000</v>
      </c>
      <c r="N24" s="241" t="s">
        <v>69</v>
      </c>
      <c r="O24" s="242">
        <v>1000000</v>
      </c>
      <c r="P24" s="6" t="s">
        <v>69</v>
      </c>
      <c r="Q24" s="20">
        <v>20</v>
      </c>
      <c r="R24" s="21" t="s">
        <v>69</v>
      </c>
      <c r="S24" s="22">
        <v>20</v>
      </c>
      <c r="T24" s="24" t="s">
        <v>167</v>
      </c>
      <c r="U24" s="192">
        <f>U29*U30*U31*U32*U33*U36</f>
        <v>11695.45839526147</v>
      </c>
      <c r="V24" s="24" t="s">
        <v>167</v>
      </c>
      <c r="W24" s="195">
        <f>W29*W30*W31*W32*W33*W36</f>
        <v>11695.45839526147</v>
      </c>
    </row>
    <row r="25" spans="4:23" x14ac:dyDescent="0.2">
      <c r="D25" s="23" t="s">
        <v>73</v>
      </c>
      <c r="E25" s="20">
        <v>1786</v>
      </c>
      <c r="F25" s="24" t="s">
        <v>73</v>
      </c>
      <c r="G25" s="22">
        <v>1786</v>
      </c>
      <c r="H25" s="23" t="s">
        <v>74</v>
      </c>
      <c r="I25" s="20">
        <v>1117</v>
      </c>
      <c r="J25" s="24" t="s">
        <v>74</v>
      </c>
      <c r="K25" s="22">
        <v>1117</v>
      </c>
      <c r="L25" s="239" t="s">
        <v>72</v>
      </c>
      <c r="M25" s="240">
        <v>3</v>
      </c>
      <c r="N25" s="241" t="s">
        <v>72</v>
      </c>
      <c r="O25" s="242">
        <v>3</v>
      </c>
      <c r="P25" s="6" t="s">
        <v>72</v>
      </c>
      <c r="Q25" s="20">
        <v>2</v>
      </c>
      <c r="R25" s="21" t="s">
        <v>72</v>
      </c>
      <c r="S25" s="22">
        <v>2</v>
      </c>
      <c r="T25" s="6" t="s">
        <v>69</v>
      </c>
      <c r="U25" s="20">
        <v>1000</v>
      </c>
      <c r="V25" s="21" t="s">
        <v>69</v>
      </c>
      <c r="W25" s="22">
        <v>1000</v>
      </c>
    </row>
    <row r="26" spans="4:23" x14ac:dyDescent="0.2">
      <c r="D26" s="6" t="s">
        <v>28</v>
      </c>
      <c r="E26" s="20">
        <v>1</v>
      </c>
      <c r="F26" s="21" t="s">
        <v>28</v>
      </c>
      <c r="G26" s="22">
        <v>1</v>
      </c>
      <c r="H26" s="6" t="s">
        <v>28</v>
      </c>
      <c r="I26" s="20">
        <v>1</v>
      </c>
      <c r="J26" s="21" t="s">
        <v>28</v>
      </c>
      <c r="K26" s="22">
        <v>1</v>
      </c>
      <c r="L26" s="239" t="s">
        <v>75</v>
      </c>
      <c r="M26" s="240">
        <v>1000000</v>
      </c>
      <c r="N26" s="241" t="s">
        <v>75</v>
      </c>
      <c r="O26" s="242">
        <v>1000000</v>
      </c>
      <c r="P26" s="6" t="s">
        <v>75</v>
      </c>
      <c r="Q26" s="20">
        <v>10</v>
      </c>
      <c r="R26" s="21" t="s">
        <v>75</v>
      </c>
      <c r="S26" s="22">
        <v>10</v>
      </c>
      <c r="T26" s="6" t="s">
        <v>72</v>
      </c>
      <c r="U26" s="20">
        <v>2</v>
      </c>
      <c r="V26" s="21" t="s">
        <v>72</v>
      </c>
      <c r="W26" s="22">
        <v>2</v>
      </c>
    </row>
    <row r="27" spans="4:23" x14ac:dyDescent="0.2">
      <c r="D27" s="6"/>
      <c r="E27" s="20">
        <v>3600</v>
      </c>
      <c r="F27" s="21"/>
      <c r="G27" s="22">
        <v>3600</v>
      </c>
      <c r="H27" s="6"/>
      <c r="I27" s="20">
        <v>3600</v>
      </c>
      <c r="J27" s="21"/>
      <c r="K27" s="22">
        <v>3600</v>
      </c>
      <c r="L27" s="239" t="s">
        <v>76</v>
      </c>
      <c r="M27" s="240">
        <v>10</v>
      </c>
      <c r="N27" s="241" t="s">
        <v>76</v>
      </c>
      <c r="O27" s="242">
        <v>10</v>
      </c>
      <c r="P27" s="6" t="s">
        <v>76</v>
      </c>
      <c r="Q27" s="20">
        <v>20</v>
      </c>
      <c r="R27" s="21" t="s">
        <v>76</v>
      </c>
      <c r="S27" s="22">
        <v>20</v>
      </c>
      <c r="T27" s="6" t="s">
        <v>75</v>
      </c>
      <c r="U27" s="20">
        <v>1000</v>
      </c>
      <c r="V27" s="21" t="s">
        <v>75</v>
      </c>
      <c r="W27" s="22">
        <v>1000</v>
      </c>
    </row>
    <row r="28" spans="4:23" x14ac:dyDescent="0.2">
      <c r="D28" s="6"/>
      <c r="E28" s="20">
        <v>3.5999999999999997E-2</v>
      </c>
      <c r="F28" s="21"/>
      <c r="G28" s="22">
        <v>3.5999999999999997E-2</v>
      </c>
      <c r="H28" s="6"/>
      <c r="I28" s="20">
        <v>3.5999999999999997E-2</v>
      </c>
      <c r="J28" s="21"/>
      <c r="K28" s="22">
        <v>3.5999999999999997E-2</v>
      </c>
      <c r="L28" s="257" t="s">
        <v>195</v>
      </c>
      <c r="M28" s="240">
        <f>M24+M26</f>
        <v>2000000</v>
      </c>
      <c r="N28" s="241" t="s">
        <v>77</v>
      </c>
      <c r="O28" s="242">
        <f>O24+O26</f>
        <v>2000000</v>
      </c>
      <c r="P28" s="6" t="s">
        <v>77</v>
      </c>
      <c r="Q28" s="20">
        <f>Q24+Q26</f>
        <v>30</v>
      </c>
      <c r="R28" s="21" t="s">
        <v>77</v>
      </c>
      <c r="S28" s="22">
        <f>S24+S26</f>
        <v>30</v>
      </c>
      <c r="T28" s="6" t="s">
        <v>76</v>
      </c>
      <c r="U28" s="20">
        <v>20</v>
      </c>
      <c r="V28" s="21" t="s">
        <v>76</v>
      </c>
      <c r="W28" s="22">
        <v>20</v>
      </c>
    </row>
    <row r="29" spans="4:23" x14ac:dyDescent="0.2">
      <c r="D29" s="6"/>
      <c r="E29" s="20">
        <v>0.1852</v>
      </c>
      <c r="F29" s="21"/>
      <c r="G29" s="22">
        <v>0.1852</v>
      </c>
      <c r="H29" s="6"/>
      <c r="I29" s="20">
        <v>0.1852</v>
      </c>
      <c r="J29" s="21"/>
      <c r="K29" s="22">
        <v>0.1852</v>
      </c>
      <c r="L29" s="239" t="s">
        <v>78</v>
      </c>
      <c r="M29" s="240">
        <f>M34</f>
        <v>4.4982532289467199E-2</v>
      </c>
      <c r="N29" s="241" t="s">
        <v>78</v>
      </c>
      <c r="O29" s="242">
        <f>O34</f>
        <v>4.4982532289467199E-2</v>
      </c>
      <c r="P29" s="6" t="s">
        <v>78</v>
      </c>
      <c r="Q29" s="192">
        <f>Q34</f>
        <v>4.4982532289467199E-2</v>
      </c>
      <c r="R29" s="21" t="s">
        <v>78</v>
      </c>
      <c r="S29" s="195">
        <f>S34</f>
        <v>4.4982532289467199E-2</v>
      </c>
      <c r="T29" s="6" t="s">
        <v>77</v>
      </c>
      <c r="U29" s="20">
        <f>U25+U27</f>
        <v>2000</v>
      </c>
      <c r="V29" s="21" t="s">
        <v>77</v>
      </c>
      <c r="W29" s="22">
        <f>W25+W27</f>
        <v>2000</v>
      </c>
    </row>
    <row r="30" spans="4:23" x14ac:dyDescent="0.2">
      <c r="D30" s="6"/>
      <c r="E30" s="20">
        <v>5.3536999999999999</v>
      </c>
      <c r="F30" s="21"/>
      <c r="G30" s="22">
        <v>5.3536999999999999</v>
      </c>
      <c r="H30" s="6"/>
      <c r="I30" s="20">
        <v>5.3536999999999999</v>
      </c>
      <c r="J30" s="21"/>
      <c r="K30" s="22">
        <v>5.3536999999999999</v>
      </c>
      <c r="L30" s="239" t="s">
        <v>79</v>
      </c>
      <c r="M30" s="240">
        <v>1</v>
      </c>
      <c r="N30" s="241" t="s">
        <v>79</v>
      </c>
      <c r="O30" s="242">
        <v>1</v>
      </c>
      <c r="P30" s="6" t="s">
        <v>79</v>
      </c>
      <c r="Q30" s="20">
        <v>1</v>
      </c>
      <c r="R30" s="21" t="s">
        <v>79</v>
      </c>
      <c r="S30" s="22">
        <v>1</v>
      </c>
      <c r="T30" s="6" t="s">
        <v>78</v>
      </c>
      <c r="U30" s="192">
        <f>U35</f>
        <v>4.4982532289467199E-2</v>
      </c>
      <c r="V30" s="21" t="s">
        <v>78</v>
      </c>
      <c r="W30" s="195">
        <f>W35</f>
        <v>4.4982532289467199E-2</v>
      </c>
    </row>
    <row r="31" spans="4:23" x14ac:dyDescent="0.2">
      <c r="D31" s="6"/>
      <c r="E31" s="20">
        <v>-9.6318000000000001</v>
      </c>
      <c r="F31" s="21"/>
      <c r="G31" s="22">
        <v>-9.6318000000000001</v>
      </c>
      <c r="H31" s="6"/>
      <c r="I31" s="20">
        <v>-9.6318000000000001</v>
      </c>
      <c r="J31" s="21"/>
      <c r="K31" s="22">
        <v>-9.6318000000000001</v>
      </c>
      <c r="L31" s="239" t="s">
        <v>80</v>
      </c>
      <c r="M31" s="240">
        <v>26</v>
      </c>
      <c r="N31" s="241" t="s">
        <v>80</v>
      </c>
      <c r="O31" s="242">
        <v>26</v>
      </c>
      <c r="P31" s="6" t="s">
        <v>80</v>
      </c>
      <c r="Q31" s="20">
        <v>26</v>
      </c>
      <c r="R31" s="21" t="s">
        <v>80</v>
      </c>
      <c r="S31" s="22">
        <v>26</v>
      </c>
      <c r="T31" s="6" t="s">
        <v>79</v>
      </c>
      <c r="U31" s="20">
        <v>1</v>
      </c>
      <c r="V31" s="21" t="s">
        <v>79</v>
      </c>
      <c r="W31" s="22">
        <v>1</v>
      </c>
    </row>
    <row r="32" spans="4:23" x14ac:dyDescent="0.2">
      <c r="D32" s="6"/>
      <c r="E32" s="20">
        <v>9.2902999999999999E-2</v>
      </c>
      <c r="F32" s="21"/>
      <c r="G32" s="22">
        <v>9.2902999999999999E-2</v>
      </c>
      <c r="H32" s="6"/>
      <c r="I32" s="20">
        <v>9.2902999999999999E-2</v>
      </c>
      <c r="J32" s="21"/>
      <c r="K32" s="22">
        <v>9.2902999999999999E-2</v>
      </c>
      <c r="L32" s="239" t="s">
        <v>81</v>
      </c>
      <c r="M32" s="240">
        <v>5</v>
      </c>
      <c r="N32" s="241" t="s">
        <v>81</v>
      </c>
      <c r="O32" s="242">
        <v>5</v>
      </c>
      <c r="P32" s="6" t="s">
        <v>81</v>
      </c>
      <c r="Q32" s="20">
        <v>5</v>
      </c>
      <c r="R32" s="21" t="s">
        <v>81</v>
      </c>
      <c r="S32" s="22">
        <v>5</v>
      </c>
      <c r="T32" s="6" t="s">
        <v>80</v>
      </c>
      <c r="U32" s="20">
        <v>26</v>
      </c>
      <c r="V32" s="21" t="s">
        <v>80</v>
      </c>
      <c r="W32" s="22">
        <v>26</v>
      </c>
    </row>
    <row r="33" spans="2:23" x14ac:dyDescent="0.2">
      <c r="B33" s="28"/>
      <c r="C33" s="28"/>
      <c r="D33" s="6"/>
      <c r="E33" s="20">
        <v>365</v>
      </c>
      <c r="F33" s="21"/>
      <c r="G33" s="22">
        <v>365</v>
      </c>
      <c r="H33" s="6"/>
      <c r="I33" s="20">
        <v>2.6</v>
      </c>
      <c r="J33" s="21"/>
      <c r="K33" s="22">
        <v>2.6</v>
      </c>
      <c r="L33" s="239" t="s">
        <v>28</v>
      </c>
      <c r="M33" s="240">
        <v>1</v>
      </c>
      <c r="N33" s="241" t="s">
        <v>28</v>
      </c>
      <c r="O33" s="242">
        <v>1</v>
      </c>
      <c r="P33" s="6" t="s">
        <v>0</v>
      </c>
      <c r="Q33" s="20">
        <v>4.6999999999999999E-4</v>
      </c>
      <c r="R33" s="21" t="s">
        <v>0</v>
      </c>
      <c r="S33" s="22">
        <v>4.6999999999999999E-4</v>
      </c>
      <c r="T33" s="6" t="s">
        <v>81</v>
      </c>
      <c r="U33" s="20">
        <v>5</v>
      </c>
      <c r="V33" s="21" t="s">
        <v>81</v>
      </c>
      <c r="W33" s="22">
        <v>5</v>
      </c>
    </row>
    <row r="34" spans="2:23" ht="13.5" thickBot="1" x14ac:dyDescent="0.25">
      <c r="C34" s="28"/>
      <c r="D34" s="8"/>
      <c r="E34" s="25">
        <v>281.89999999999998</v>
      </c>
      <c r="F34" s="26"/>
      <c r="G34" s="27">
        <v>281.89999999999998</v>
      </c>
      <c r="H34" s="6"/>
      <c r="I34" s="20">
        <v>365</v>
      </c>
      <c r="J34" s="21"/>
      <c r="K34" s="22">
        <v>365</v>
      </c>
      <c r="L34" s="239" t="s">
        <v>68</v>
      </c>
      <c r="M34" s="240">
        <f>M15*0.0003048</f>
        <v>4.4982532289467199E-2</v>
      </c>
      <c r="N34" s="241" t="s">
        <v>68</v>
      </c>
      <c r="O34" s="242">
        <f>O15*0.0003048</f>
        <v>4.4982532289467199E-2</v>
      </c>
      <c r="P34" s="6" t="s">
        <v>68</v>
      </c>
      <c r="Q34" s="192">
        <f>Q15*0.0003048</f>
        <v>4.4982532289467199E-2</v>
      </c>
      <c r="R34" s="21" t="s">
        <v>68</v>
      </c>
      <c r="S34" s="195">
        <f>S15*0.0003048</f>
        <v>4.4982532289467199E-2</v>
      </c>
      <c r="T34" s="6" t="s">
        <v>0</v>
      </c>
      <c r="U34" s="20">
        <v>4.6999999999999999E-4</v>
      </c>
      <c r="V34" s="21" t="s">
        <v>0</v>
      </c>
      <c r="W34" s="22">
        <v>4.6999999999999999E-4</v>
      </c>
    </row>
    <row r="35" spans="2:23" ht="14.25" thickTop="1" thickBot="1" x14ac:dyDescent="0.25">
      <c r="H35" s="8"/>
      <c r="I35" s="25">
        <v>281.89999999999998</v>
      </c>
      <c r="J35" s="26"/>
      <c r="K35" s="27">
        <v>281.89999999999998</v>
      </c>
      <c r="L35" s="239"/>
      <c r="M35" s="240">
        <v>0.1852</v>
      </c>
      <c r="N35" s="241"/>
      <c r="O35" s="242">
        <v>0.1852</v>
      </c>
      <c r="P35" s="6" t="s">
        <v>28</v>
      </c>
      <c r="Q35" s="20">
        <v>1</v>
      </c>
      <c r="R35" s="21" t="s">
        <v>28</v>
      </c>
      <c r="S35" s="22">
        <v>1</v>
      </c>
      <c r="T35" s="6" t="s">
        <v>68</v>
      </c>
      <c r="U35" s="192">
        <f>U15*0.0003048</f>
        <v>4.4982532289467199E-2</v>
      </c>
      <c r="V35" s="21" t="s">
        <v>68</v>
      </c>
      <c r="W35" s="195">
        <f>W15*0.0003048</f>
        <v>4.4982532289467199E-2</v>
      </c>
    </row>
    <row r="36" spans="2:23" ht="13.5" thickTop="1" x14ac:dyDescent="0.2">
      <c r="L36" s="239"/>
      <c r="M36" s="240">
        <v>5.3536999999999999</v>
      </c>
      <c r="N36" s="241"/>
      <c r="O36" s="242">
        <v>5.3536999999999999</v>
      </c>
      <c r="P36" s="6"/>
      <c r="Q36" s="20">
        <v>0.1852</v>
      </c>
      <c r="R36" s="21"/>
      <c r="S36" s="22">
        <v>0.1852</v>
      </c>
      <c r="T36" s="6" t="s">
        <v>28</v>
      </c>
      <c r="U36" s="20">
        <v>1</v>
      </c>
      <c r="V36" s="21" t="s">
        <v>28</v>
      </c>
      <c r="W36" s="22">
        <v>1</v>
      </c>
    </row>
    <row r="37" spans="2:23" x14ac:dyDescent="0.2">
      <c r="F37" s="72"/>
      <c r="G37" s="28"/>
      <c r="L37" s="239"/>
      <c r="M37" s="240">
        <v>-9.6318000000000001</v>
      </c>
      <c r="N37" s="241"/>
      <c r="O37" s="242">
        <v>-9.6318000000000001</v>
      </c>
      <c r="P37" s="6"/>
      <c r="Q37" s="20">
        <v>5.3536999999999999</v>
      </c>
      <c r="R37" s="21"/>
      <c r="S37" s="22">
        <v>5.3536999999999999</v>
      </c>
      <c r="T37" s="6"/>
      <c r="U37" s="20">
        <v>0.1852</v>
      </c>
      <c r="V37" s="21"/>
      <c r="W37" s="22">
        <v>0.1852</v>
      </c>
    </row>
    <row r="38" spans="2:23" x14ac:dyDescent="0.2">
      <c r="F38" s="72"/>
      <c r="G38" s="28"/>
      <c r="L38" s="239"/>
      <c r="M38" s="240">
        <v>9.2902999999999999E-2</v>
      </c>
      <c r="N38" s="241"/>
      <c r="O38" s="242">
        <v>9.2902999999999999E-2</v>
      </c>
      <c r="P38" s="6"/>
      <c r="Q38" s="20">
        <v>-9.6318000000000001</v>
      </c>
      <c r="R38" s="21"/>
      <c r="S38" s="22">
        <v>-9.6318000000000001</v>
      </c>
      <c r="T38" s="6"/>
      <c r="U38" s="20">
        <v>5.3536999999999999</v>
      </c>
      <c r="V38" s="21"/>
      <c r="W38" s="22">
        <v>5.3536999999999999</v>
      </c>
    </row>
    <row r="39" spans="2:23" x14ac:dyDescent="0.2">
      <c r="L39" s="239"/>
      <c r="M39" s="240">
        <v>2.6</v>
      </c>
      <c r="N39" s="241"/>
      <c r="O39" s="242">
        <v>2.6</v>
      </c>
      <c r="P39" s="6"/>
      <c r="Q39" s="20">
        <v>9.2902999999999999E-2</v>
      </c>
      <c r="R39" s="21"/>
      <c r="S39" s="22">
        <v>9.2902999999999999E-2</v>
      </c>
      <c r="T39" s="6"/>
      <c r="U39" s="20">
        <v>-9.6318000000000001</v>
      </c>
      <c r="V39" s="21"/>
      <c r="W39" s="22">
        <v>-9.6318000000000001</v>
      </c>
    </row>
    <row r="40" spans="2:23" x14ac:dyDescent="0.2">
      <c r="L40" s="239"/>
      <c r="M40" s="240">
        <v>365</v>
      </c>
      <c r="N40" s="241"/>
      <c r="O40" s="242">
        <v>365</v>
      </c>
      <c r="P40" s="6"/>
      <c r="Q40" s="20">
        <v>2.6</v>
      </c>
      <c r="R40" s="21"/>
      <c r="S40" s="22">
        <v>2.6</v>
      </c>
      <c r="T40" s="6"/>
      <c r="U40" s="20">
        <v>2.6</v>
      </c>
      <c r="V40" s="21"/>
      <c r="W40" s="22">
        <v>2.6</v>
      </c>
    </row>
    <row r="41" spans="2:23" ht="13.5" thickBot="1" x14ac:dyDescent="0.25">
      <c r="L41" s="253"/>
      <c r="M41" s="254">
        <v>281.89999999999998</v>
      </c>
      <c r="N41" s="255"/>
      <c r="O41" s="256">
        <v>281.89999999999998</v>
      </c>
      <c r="P41" s="6"/>
      <c r="Q41" s="20">
        <v>365</v>
      </c>
      <c r="R41" s="21"/>
      <c r="S41" s="22">
        <v>365</v>
      </c>
      <c r="T41" s="6"/>
      <c r="U41" s="20">
        <v>365</v>
      </c>
      <c r="V41" s="21"/>
      <c r="W41" s="22">
        <v>365</v>
      </c>
    </row>
    <row r="42" spans="2:23" ht="14.25" thickTop="1" thickBot="1" x14ac:dyDescent="0.25">
      <c r="P42" s="8"/>
      <c r="Q42" s="25">
        <v>281.89999999999998</v>
      </c>
      <c r="R42" s="26"/>
      <c r="S42" s="27">
        <v>281.89999999999998</v>
      </c>
      <c r="T42" s="8"/>
      <c r="U42" s="25">
        <v>281.89999999999998</v>
      </c>
      <c r="V42" s="26"/>
      <c r="W42" s="27">
        <v>281.89999999999998</v>
      </c>
    </row>
    <row r="43" spans="2:23" ht="13.5" thickTop="1" x14ac:dyDescent="0.2"/>
    <row r="46" spans="2:23" x14ac:dyDescent="0.2">
      <c r="R46">
        <f>Q2/(27414728136.8)</f>
        <v>1.3500857118562701E-3</v>
      </c>
    </row>
    <row r="47" spans="2:23" x14ac:dyDescent="0.2">
      <c r="R47">
        <f>1/R46</f>
        <v>740.69371390137326</v>
      </c>
    </row>
  </sheetData>
  <mergeCells count="6">
    <mergeCell ref="T1:W1"/>
    <mergeCell ref="B1:C1"/>
    <mergeCell ref="D1:G1"/>
    <mergeCell ref="H1:K1"/>
    <mergeCell ref="L1:O1"/>
    <mergeCell ref="P1:S1"/>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2"/>
  <sheetViews>
    <sheetView zoomScale="80" zoomScaleNormal="80" workbookViewId="0">
      <pane xSplit="3" ySplit="1" topLeftCell="D2" activePane="bottomRight" state="frozen"/>
      <selection pane="topRight" activeCell="D1" sqref="D1"/>
      <selection pane="bottomLeft" activeCell="A2" sqref="A2"/>
      <selection pane="bottomRight" activeCell="E17" sqref="E17"/>
    </sheetView>
  </sheetViews>
  <sheetFormatPr defaultRowHeight="12.75" x14ac:dyDescent="0.2"/>
  <cols>
    <col min="1" max="1" width="13.7109375" bestFit="1" customWidth="1"/>
    <col min="2" max="2" width="9.28515625" bestFit="1" customWidth="1"/>
    <col min="3" max="3" width="21" bestFit="1" customWidth="1"/>
    <col min="4" max="4" width="12.28515625" style="28" bestFit="1" customWidth="1"/>
    <col min="5" max="5" width="9.28515625" style="32" bestFit="1" customWidth="1"/>
    <col min="6" max="6" width="20.5703125" style="28" bestFit="1" customWidth="1"/>
    <col min="7" max="7" width="12.28515625" style="28" bestFit="1" customWidth="1"/>
    <col min="8" max="8" width="9.28515625" style="32" bestFit="1" customWidth="1"/>
    <col min="9" max="9" width="20.5703125" style="28" bestFit="1" customWidth="1"/>
    <col min="10" max="10" width="12.28515625" style="28" bestFit="1" customWidth="1"/>
    <col min="11" max="11" width="9.28515625" style="28" bestFit="1" customWidth="1"/>
    <col min="12" max="12" width="20.5703125" style="28" bestFit="1" customWidth="1"/>
    <col min="13" max="13" width="12.28515625" style="28" bestFit="1" customWidth="1"/>
    <col min="14" max="14" width="9.28515625" style="32" bestFit="1" customWidth="1"/>
    <col min="15" max="15" width="20.5703125" style="28" bestFit="1" customWidth="1"/>
  </cols>
  <sheetData>
    <row r="1" spans="1:15" ht="21.75" thickTop="1" thickBot="1" x14ac:dyDescent="0.3">
      <c r="A1" s="364" t="s">
        <v>6</v>
      </c>
      <c r="B1" s="365"/>
      <c r="C1" s="366"/>
      <c r="D1" s="361" t="s">
        <v>171</v>
      </c>
      <c r="E1" s="362"/>
      <c r="F1" s="363"/>
      <c r="G1" s="358" t="s">
        <v>172</v>
      </c>
      <c r="H1" s="359"/>
      <c r="I1" s="360"/>
      <c r="J1" s="355" t="s">
        <v>173</v>
      </c>
      <c r="K1" s="356"/>
      <c r="L1" s="357"/>
      <c r="M1" s="352" t="s">
        <v>174</v>
      </c>
      <c r="N1" s="353"/>
      <c r="O1" s="354"/>
    </row>
    <row r="2" spans="1:15" ht="13.5" thickTop="1" x14ac:dyDescent="0.2">
      <c r="A2" s="372" t="s">
        <v>112</v>
      </c>
      <c r="B2" s="373"/>
      <c r="C2" s="374"/>
      <c r="D2" s="219" t="s">
        <v>175</v>
      </c>
      <c r="E2" s="212">
        <f>1/((1/E17)+(1/E18)+(1/E20))</f>
        <v>4.8889179241640186E-5</v>
      </c>
      <c r="F2" s="128" t="s">
        <v>176</v>
      </c>
      <c r="G2" s="213" t="s">
        <v>175</v>
      </c>
      <c r="H2" s="214">
        <f>1/((1/H17)+(1/H18)+(1/H20))</f>
        <v>4.5813947855543298E-5</v>
      </c>
      <c r="I2" s="138" t="s">
        <v>176</v>
      </c>
      <c r="J2" s="215" t="s">
        <v>175</v>
      </c>
      <c r="K2" s="216">
        <f>1/((1/K17)+(1/K18)+(1/K20))</f>
        <v>5.0904386506159224E-5</v>
      </c>
      <c r="L2" s="131" t="s">
        <v>176</v>
      </c>
      <c r="M2" s="217" t="s">
        <v>175</v>
      </c>
      <c r="N2" s="218">
        <f>1/((1/N17)+(1/N18)+(1/N20))</f>
        <v>4.5781709933980155E-5</v>
      </c>
      <c r="O2" s="125" t="s">
        <v>176</v>
      </c>
    </row>
    <row r="3" spans="1:15" ht="13.5" thickBot="1" x14ac:dyDescent="0.25">
      <c r="A3" s="375"/>
      <c r="B3" s="376"/>
      <c r="C3" s="377"/>
      <c r="D3" s="127" t="s">
        <v>177</v>
      </c>
      <c r="E3" s="135">
        <f>1/((1/E17)+(1/E19)+(1/E20))</f>
        <v>1.3909349250159359E-3</v>
      </c>
      <c r="F3" s="129" t="s">
        <v>176</v>
      </c>
      <c r="G3" s="136" t="s">
        <v>177</v>
      </c>
      <c r="H3" s="137">
        <f>1/((1/H17)+(1/H19)+(1/H20))</f>
        <v>1.3033556021807137E-3</v>
      </c>
      <c r="I3" s="139" t="s">
        <v>176</v>
      </c>
      <c r="J3" s="130" t="s">
        <v>177</v>
      </c>
      <c r="K3" s="133">
        <f>1/((1/K17)+(1/K19)+(1/K20))</f>
        <v>1.4481728913119042E-3</v>
      </c>
      <c r="L3" s="132" t="s">
        <v>176</v>
      </c>
      <c r="M3" s="124" t="s">
        <v>177</v>
      </c>
      <c r="N3" s="134">
        <f>1/((1/N17)+(1/N19)+(1/N20))</f>
        <v>1.2777586035875635E-3</v>
      </c>
      <c r="O3" s="126" t="s">
        <v>176</v>
      </c>
    </row>
    <row r="4" spans="1:15" x14ac:dyDescent="0.2">
      <c r="A4" s="375"/>
      <c r="B4" s="376"/>
      <c r="C4" s="377"/>
      <c r="D4" s="104" t="s">
        <v>175</v>
      </c>
      <c r="E4" s="116">
        <f>E2/E51</f>
        <v>1.8088996319406887E-6</v>
      </c>
      <c r="F4" s="106" t="s">
        <v>178</v>
      </c>
      <c r="G4" s="118" t="s">
        <v>175</v>
      </c>
      <c r="H4" s="119">
        <f>H2/H41</f>
        <v>1.6951160706551037E-6</v>
      </c>
      <c r="I4" s="122" t="s">
        <v>178</v>
      </c>
      <c r="J4" s="108" t="s">
        <v>175</v>
      </c>
      <c r="K4" s="112">
        <f>K2/K41</f>
        <v>1.8834623007278932E-6</v>
      </c>
      <c r="L4" s="110" t="s">
        <v>178</v>
      </c>
      <c r="M4" s="100" t="s">
        <v>175</v>
      </c>
      <c r="N4" s="114">
        <f>N2/N41</f>
        <v>1.6939232675572674E-6</v>
      </c>
      <c r="O4" s="102" t="s">
        <v>178</v>
      </c>
    </row>
    <row r="5" spans="1:15" ht="13.5" thickBot="1" x14ac:dyDescent="0.25">
      <c r="A5" s="378"/>
      <c r="B5" s="379"/>
      <c r="C5" s="380"/>
      <c r="D5" s="105" t="s">
        <v>177</v>
      </c>
      <c r="E5" s="117">
        <f>E3/E51</f>
        <v>5.1464592225589682E-5</v>
      </c>
      <c r="F5" s="107" t="s">
        <v>178</v>
      </c>
      <c r="G5" s="120" t="s">
        <v>177</v>
      </c>
      <c r="H5" s="121">
        <f>H3/H41</f>
        <v>4.8224157280686458E-5</v>
      </c>
      <c r="I5" s="123" t="s">
        <v>178</v>
      </c>
      <c r="J5" s="109" t="s">
        <v>177</v>
      </c>
      <c r="K5" s="113">
        <f>K3/K41</f>
        <v>5.3582396978540511E-5</v>
      </c>
      <c r="L5" s="111" t="s">
        <v>178</v>
      </c>
      <c r="M5" s="101" t="s">
        <v>177</v>
      </c>
      <c r="N5" s="115">
        <f>N3/N41</f>
        <v>4.7277068332739899E-5</v>
      </c>
      <c r="O5" s="103" t="s">
        <v>178</v>
      </c>
    </row>
    <row r="6" spans="1:15" ht="13.5" thickTop="1" x14ac:dyDescent="0.2">
      <c r="A6" s="28" t="s">
        <v>21</v>
      </c>
      <c r="B6" s="190">
        <v>1</v>
      </c>
      <c r="C6" s="28" t="s">
        <v>138</v>
      </c>
      <c r="D6" s="104" t="s">
        <v>175</v>
      </c>
      <c r="E6" s="116">
        <f>E2*E13*E50*E52</f>
        <v>1.42518606417758E-14</v>
      </c>
      <c r="F6" s="106" t="s">
        <v>179</v>
      </c>
      <c r="G6" s="118" t="s">
        <v>175</v>
      </c>
      <c r="H6" s="119">
        <f>H2*H13*H40*H42</f>
        <v>1.3355388869581708E-14</v>
      </c>
      <c r="I6" s="122" t="s">
        <v>179</v>
      </c>
      <c r="J6" s="108" t="s">
        <v>175</v>
      </c>
      <c r="K6" s="112">
        <f>K2*K13*K40*K42</f>
        <v>1.48393209662019E-14</v>
      </c>
      <c r="L6" s="110" t="s">
        <v>179</v>
      </c>
      <c r="M6" s="100" t="s">
        <v>175</v>
      </c>
      <c r="N6" s="114">
        <f>N2*N13*N40*N42</f>
        <v>1.3345991077010315E-14</v>
      </c>
      <c r="O6" s="102" t="s">
        <v>179</v>
      </c>
    </row>
    <row r="7" spans="1:15" ht="13.5" thickBot="1" x14ac:dyDescent="0.25">
      <c r="A7" s="38" t="s">
        <v>22</v>
      </c>
      <c r="B7" s="151">
        <v>0.36297000000000001</v>
      </c>
      <c r="C7" s="40" t="s">
        <v>11</v>
      </c>
      <c r="D7" s="105" t="s">
        <v>177</v>
      </c>
      <c r="E7" s="117">
        <f>E3*E13*E50*E52</f>
        <v>4.0547644735712561E-13</v>
      </c>
      <c r="F7" s="107" t="s">
        <v>179</v>
      </c>
      <c r="G7" s="120" t="s">
        <v>177</v>
      </c>
      <c r="H7" s="121">
        <f>H3*H13*H40*H42</f>
        <v>3.7994588367186766E-13</v>
      </c>
      <c r="I7" s="123" t="s">
        <v>179</v>
      </c>
      <c r="J7" s="109" t="s">
        <v>177</v>
      </c>
      <c r="K7" s="113">
        <f>K3*K13*K40*K42</f>
        <v>4.2216209296874193E-13</v>
      </c>
      <c r="L7" s="111" t="s">
        <v>179</v>
      </c>
      <c r="M7" s="101" t="s">
        <v>177</v>
      </c>
      <c r="N7" s="115">
        <f>N3*N13*N40*N42</f>
        <v>3.7248401046278364E-13</v>
      </c>
      <c r="O7" s="103" t="s">
        <v>179</v>
      </c>
    </row>
    <row r="8" spans="1:15" x14ac:dyDescent="0.2">
      <c r="A8" s="38" t="s">
        <v>209</v>
      </c>
      <c r="B8" s="151">
        <v>8.8060000000000005E-4</v>
      </c>
      <c r="C8" s="38" t="s">
        <v>11</v>
      </c>
      <c r="D8" s="28" t="s">
        <v>21</v>
      </c>
      <c r="E8" s="32">
        <f>B6</f>
        <v>1</v>
      </c>
      <c r="F8" s="28" t="s">
        <v>138</v>
      </c>
      <c r="G8" s="28" t="s">
        <v>21</v>
      </c>
      <c r="H8" s="32">
        <f>B6</f>
        <v>1</v>
      </c>
      <c r="I8" s="28" t="s">
        <v>138</v>
      </c>
      <c r="J8" s="28" t="s">
        <v>21</v>
      </c>
      <c r="K8" s="32">
        <f>B6</f>
        <v>1</v>
      </c>
      <c r="L8" s="28" t="s">
        <v>138</v>
      </c>
      <c r="M8" s="28" t="s">
        <v>21</v>
      </c>
      <c r="N8" s="32">
        <f>B6</f>
        <v>1</v>
      </c>
      <c r="O8" s="28" t="s">
        <v>138</v>
      </c>
    </row>
    <row r="9" spans="1:15" ht="19.5" x14ac:dyDescent="0.35">
      <c r="A9" s="38" t="s">
        <v>210</v>
      </c>
      <c r="B9" s="151">
        <v>7.5480000000000002E-4</v>
      </c>
      <c r="C9" s="38" t="s">
        <v>11</v>
      </c>
      <c r="D9" s="54" t="s">
        <v>206</v>
      </c>
      <c r="E9" s="32">
        <f>E38</f>
        <v>1</v>
      </c>
      <c r="G9" s="54" t="s">
        <v>207</v>
      </c>
      <c r="H9" s="32">
        <f>H30</f>
        <v>1</v>
      </c>
      <c r="J9" s="54" t="s">
        <v>208</v>
      </c>
      <c r="K9" s="32">
        <f>K30</f>
        <v>1</v>
      </c>
      <c r="M9" s="54" t="s">
        <v>140</v>
      </c>
      <c r="N9" s="32">
        <f>N30</f>
        <v>1</v>
      </c>
    </row>
    <row r="10" spans="1:15" x14ac:dyDescent="0.2">
      <c r="A10" s="38" t="s">
        <v>113</v>
      </c>
      <c r="B10" s="151">
        <v>3.7173200000000003E-2</v>
      </c>
      <c r="C10" s="38" t="s">
        <v>198</v>
      </c>
      <c r="D10" s="54" t="s">
        <v>65</v>
      </c>
      <c r="E10" s="32">
        <f>B33</f>
        <v>0.38</v>
      </c>
      <c r="G10" s="54" t="s">
        <v>2</v>
      </c>
      <c r="H10" s="32">
        <f>B33</f>
        <v>0.38</v>
      </c>
      <c r="J10" s="54" t="s">
        <v>2</v>
      </c>
      <c r="K10" s="32">
        <f>B33</f>
        <v>0.38</v>
      </c>
      <c r="M10" s="54" t="s">
        <v>2</v>
      </c>
      <c r="N10" s="32">
        <f>B33</f>
        <v>0.38</v>
      </c>
    </row>
    <row r="11" spans="1:15" x14ac:dyDescent="0.2">
      <c r="A11" s="38" t="s">
        <v>23</v>
      </c>
      <c r="B11" s="151">
        <v>2.5484199999999999E-2</v>
      </c>
      <c r="C11" s="38" t="s">
        <v>199</v>
      </c>
      <c r="D11" s="54" t="s">
        <v>1</v>
      </c>
      <c r="E11" s="51">
        <f>0.693/E13</f>
        <v>1.6041666666666665E-3</v>
      </c>
      <c r="F11" s="54"/>
      <c r="G11" s="54" t="s">
        <v>1</v>
      </c>
      <c r="H11" s="51">
        <f>0.693/H13</f>
        <v>1.6041666666666665E-3</v>
      </c>
      <c r="J11" s="54" t="s">
        <v>1</v>
      </c>
      <c r="K11" s="51">
        <f>0.693/K13</f>
        <v>1.6041666666666665E-3</v>
      </c>
      <c r="L11" s="54"/>
      <c r="M11" s="54" t="s">
        <v>1</v>
      </c>
      <c r="N11" s="51">
        <f>0.693/N13</f>
        <v>1.6041666666666665E-3</v>
      </c>
      <c r="O11" s="54"/>
    </row>
    <row r="12" spans="1:15" x14ac:dyDescent="0.2">
      <c r="A12" s="38" t="s">
        <v>114</v>
      </c>
      <c r="B12" s="151">
        <v>1.83064E-2</v>
      </c>
      <c r="C12" s="38" t="s">
        <v>198</v>
      </c>
      <c r="D12" s="28" t="s">
        <v>126</v>
      </c>
      <c r="E12" s="51">
        <f>(1-EXP(-E11*E9))</f>
        <v>1.6028806790575612E-3</v>
      </c>
      <c r="G12" s="28" t="s">
        <v>126</v>
      </c>
      <c r="H12" s="51">
        <f>(1-EXP(-H11*H9))</f>
        <v>1.6028806790575612E-3</v>
      </c>
      <c r="J12" s="28" t="s">
        <v>126</v>
      </c>
      <c r="K12" s="51">
        <f>(1-EXP(-K11*K9))</f>
        <v>1.6028806790575612E-3</v>
      </c>
      <c r="M12" s="28" t="s">
        <v>126</v>
      </c>
      <c r="N12" s="51">
        <f>(1-EXP(-N11*N9))</f>
        <v>1.6028806790575612E-3</v>
      </c>
    </row>
    <row r="13" spans="1:15" x14ac:dyDescent="0.2">
      <c r="A13" s="38" t="s">
        <v>115</v>
      </c>
      <c r="B13" s="151">
        <v>3.4557999999999998E-2</v>
      </c>
      <c r="C13" s="38" t="s">
        <v>198</v>
      </c>
      <c r="D13" s="33" t="s">
        <v>9</v>
      </c>
      <c r="E13" s="53">
        <f>B16</f>
        <v>432</v>
      </c>
      <c r="F13" s="54" t="s">
        <v>10</v>
      </c>
      <c r="G13" s="33" t="s">
        <v>9</v>
      </c>
      <c r="H13" s="53">
        <f>B16</f>
        <v>432</v>
      </c>
      <c r="J13" s="33" t="s">
        <v>9</v>
      </c>
      <c r="K13" s="53">
        <f>B16</f>
        <v>432</v>
      </c>
      <c r="L13" s="54"/>
      <c r="M13" s="33" t="s">
        <v>9</v>
      </c>
      <c r="N13" s="53">
        <f>B16</f>
        <v>432</v>
      </c>
      <c r="O13" s="54"/>
    </row>
    <row r="14" spans="1:15" x14ac:dyDescent="0.2">
      <c r="A14" s="38" t="s">
        <v>116</v>
      </c>
      <c r="B14" s="151">
        <v>3.7173200000000003E-2</v>
      </c>
      <c r="C14" s="38" t="s">
        <v>198</v>
      </c>
      <c r="D14" s="38" t="s">
        <v>209</v>
      </c>
      <c r="E14" s="53">
        <f>B8</f>
        <v>8.8060000000000005E-4</v>
      </c>
      <c r="F14" s="54" t="s">
        <v>11</v>
      </c>
      <c r="G14" s="38" t="s">
        <v>210</v>
      </c>
      <c r="H14" s="53">
        <f>B9</f>
        <v>7.5480000000000002E-4</v>
      </c>
      <c r="I14" s="28" t="s">
        <v>11</v>
      </c>
      <c r="J14" s="38" t="s">
        <v>210</v>
      </c>
      <c r="K14" s="53">
        <f>B9</f>
        <v>7.5480000000000002E-4</v>
      </c>
      <c r="L14" s="54" t="s">
        <v>11</v>
      </c>
      <c r="M14" s="38" t="s">
        <v>210</v>
      </c>
      <c r="N14" s="53">
        <f>B9</f>
        <v>7.5480000000000002E-4</v>
      </c>
      <c r="O14" s="54" t="s">
        <v>11</v>
      </c>
    </row>
    <row r="15" spans="1:15" x14ac:dyDescent="0.2">
      <c r="A15" s="38" t="s">
        <v>117</v>
      </c>
      <c r="B15" s="151">
        <v>125.5296</v>
      </c>
      <c r="C15" s="38" t="s">
        <v>200</v>
      </c>
      <c r="D15" s="54" t="s">
        <v>22</v>
      </c>
      <c r="E15" s="53">
        <f>B7</f>
        <v>0.36297000000000001</v>
      </c>
      <c r="F15" s="54" t="s">
        <v>201</v>
      </c>
      <c r="G15" s="54" t="s">
        <v>22</v>
      </c>
      <c r="H15" s="53">
        <f>B7</f>
        <v>0.36297000000000001</v>
      </c>
      <c r="I15" s="28" t="s">
        <v>201</v>
      </c>
      <c r="J15" s="54" t="s">
        <v>22</v>
      </c>
      <c r="K15" s="53">
        <f>B7</f>
        <v>0.36297000000000001</v>
      </c>
      <c r="L15" s="54" t="s">
        <v>201</v>
      </c>
      <c r="M15" s="54" t="s">
        <v>22</v>
      </c>
      <c r="N15" s="53">
        <f>B7</f>
        <v>0.36297000000000001</v>
      </c>
      <c r="O15" s="54" t="s">
        <v>201</v>
      </c>
    </row>
    <row r="16" spans="1:15" x14ac:dyDescent="0.2">
      <c r="A16" s="41" t="s">
        <v>9</v>
      </c>
      <c r="B16" s="187">
        <v>432</v>
      </c>
      <c r="C16" s="39" t="s">
        <v>118</v>
      </c>
      <c r="D16" s="54" t="s">
        <v>23</v>
      </c>
      <c r="E16" s="53">
        <f>B11</f>
        <v>2.5484199999999999E-2</v>
      </c>
      <c r="F16" s="54" t="s">
        <v>198</v>
      </c>
      <c r="G16" s="54" t="s">
        <v>23</v>
      </c>
      <c r="H16" s="53">
        <f>B11</f>
        <v>2.5484199999999999E-2</v>
      </c>
      <c r="I16" s="28" t="s">
        <v>201</v>
      </c>
      <c r="J16" s="54" t="s">
        <v>23</v>
      </c>
      <c r="K16" s="53">
        <f>B11</f>
        <v>2.5484199999999999E-2</v>
      </c>
      <c r="L16" s="54" t="s">
        <v>201</v>
      </c>
      <c r="M16" s="54" t="s">
        <v>23</v>
      </c>
      <c r="N16" s="53">
        <f>B11</f>
        <v>2.5484199999999999E-2</v>
      </c>
      <c r="O16" s="54" t="s">
        <v>201</v>
      </c>
    </row>
    <row r="17" spans="1:15" x14ac:dyDescent="0.2">
      <c r="A17" s="38" t="s">
        <v>141</v>
      </c>
      <c r="B17" s="328">
        <v>0.75299145299145298</v>
      </c>
      <c r="C17" s="40"/>
      <c r="D17" s="28" t="s">
        <v>92</v>
      </c>
      <c r="E17" s="47">
        <f>(E8*E9*E11)/(((1-EXP(-E10*E9))/(E10*E9))*E12*E14*E22)</f>
        <v>3.4768232566104618E-2</v>
      </c>
      <c r="F17" s="28" t="s">
        <v>94</v>
      </c>
      <c r="G17" s="28" t="s">
        <v>92</v>
      </c>
      <c r="H17" s="47">
        <f>(H8*H9*H11)/(((1-EXP(-H10*H9))/(H10*H9))*H12*H14*H22*H28)</f>
        <v>3.2525681565590867E-2</v>
      </c>
      <c r="I17" s="28" t="s">
        <v>94</v>
      </c>
      <c r="J17" s="28" t="s">
        <v>92</v>
      </c>
      <c r="K17" s="47">
        <f>(K8*K9*K11)/(((1-EXP(-K10*K9))/(K10*K9))*K12*K14*K22*K28)</f>
        <v>3.6139646183989849E-2</v>
      </c>
      <c r="L17" s="28" t="s">
        <v>94</v>
      </c>
      <c r="M17" s="28" t="s">
        <v>92</v>
      </c>
      <c r="N17" s="47">
        <f>(N8*N9*N11)/(((1-EXP(-N10*N9))/(N10*N9))*N12*N14*N22*N28)</f>
        <v>2.168378771039391E-2</v>
      </c>
      <c r="O17" s="28" t="s">
        <v>94</v>
      </c>
    </row>
    <row r="18" spans="1:15" x14ac:dyDescent="0.2">
      <c r="A18" s="38" t="s">
        <v>142</v>
      </c>
      <c r="B18" s="328">
        <v>0.80851063829787195</v>
      </c>
      <c r="C18" s="40"/>
      <c r="D18" s="28" t="s">
        <v>166</v>
      </c>
      <c r="E18" s="46">
        <f>(E8*E9*E11)/(((1-EXP(-E10*E9))/(E10*E9))*E12*E15*E23*(1/E48)*E47*(E41+E42)*(1/24))</f>
        <v>4.8958034956446498E-5</v>
      </c>
      <c r="F18" s="28" t="s">
        <v>94</v>
      </c>
      <c r="G18" s="28" t="s">
        <v>166</v>
      </c>
      <c r="H18" s="46">
        <f>(H8*H9*H11)/(((1-EXP(-H10*H9))/(H10*H9))*H12*H15*H29*H25*H28*(1/H38)*H37)</f>
        <v>4.5878578203850823E-5</v>
      </c>
      <c r="I18" s="28" t="s">
        <v>94</v>
      </c>
      <c r="J18" s="28" t="s">
        <v>166</v>
      </c>
      <c r="K18" s="46">
        <f>(K8*K9*K11)/(((1-EXP(-K10*K9))/(K10*K9))*K12*K15*K29*K25*K28*(1/K38)*K37)</f>
        <v>5.0976198004278692E-5</v>
      </c>
      <c r="L18" s="28" t="s">
        <v>94</v>
      </c>
      <c r="M18" s="28" t="s">
        <v>166</v>
      </c>
      <c r="N18" s="46">
        <f>(N8*N9*N11)/(((1-EXP(-N10*N9))/(N10*N9))*N12*N15*N29*N25*N28*(1/N38)*N37)</f>
        <v>4.5878578203850823E-5</v>
      </c>
      <c r="O18" s="28" t="s">
        <v>94</v>
      </c>
    </row>
    <row r="19" spans="1:15" x14ac:dyDescent="0.2">
      <c r="A19" s="38" t="s">
        <v>143</v>
      </c>
      <c r="B19" s="328">
        <v>0.74267782426778195</v>
      </c>
      <c r="C19" s="40"/>
      <c r="D19" s="28" t="s">
        <v>165</v>
      </c>
      <c r="E19" s="46">
        <f>(E8*E9*E11)/(((1-EXP(-E10*E9))/(E10*E9))*E12*E15*E23*(1/E49)*E47*(E41+E42)*(1/24))</f>
        <v>1.4489114141569505E-3</v>
      </c>
      <c r="F19" s="28" t="s">
        <v>94</v>
      </c>
      <c r="G19" s="28" t="s">
        <v>165</v>
      </c>
      <c r="H19" s="46">
        <f>(H8*H9*H11)/(((1-EXP(-H10*H9))/(H10*H9))*H12*H15*H29*H25*H28*(1/H39)*H37)</f>
        <v>1.3577705394722354E-3</v>
      </c>
      <c r="I19" s="28" t="s">
        <v>94</v>
      </c>
      <c r="J19" s="28" t="s">
        <v>165</v>
      </c>
      <c r="K19" s="46">
        <f>(K8*K9*K11)/(((1-EXP(-K10*K9))/(K10*K9))*K12*K15*K29*K25*K28*(1/K39)*K37)</f>
        <v>1.5086339327469282E-3</v>
      </c>
      <c r="L19" s="28" t="s">
        <v>94</v>
      </c>
      <c r="M19" s="28" t="s">
        <v>165</v>
      </c>
      <c r="N19" s="46">
        <f>(N8*N9*N11)/(((1-EXP(-N10*N9))/(N10*N9))*N12*N15*N29*N25*N28*(1/N39)*N37)</f>
        <v>1.3577705394722354E-3</v>
      </c>
      <c r="O19" s="28" t="s">
        <v>94</v>
      </c>
    </row>
    <row r="20" spans="1:15" x14ac:dyDescent="0.2">
      <c r="A20" s="38" t="s">
        <v>144</v>
      </c>
      <c r="B20" s="328">
        <v>0.71144278606965194</v>
      </c>
      <c r="D20" s="28" t="s">
        <v>93</v>
      </c>
      <c r="E20" s="45">
        <f>(E8*E9*E11)/(((1-EXP(-E10*E9))/(E10*E9))*E12*E16*E39*E40*E28*(1/365)*E46*((E41*E44)+(E42*E45))*(1/24))</f>
        <v>175.8037607589568</v>
      </c>
      <c r="F20" s="28" t="s">
        <v>94</v>
      </c>
      <c r="G20" s="28" t="s">
        <v>93</v>
      </c>
      <c r="H20" s="45">
        <f>(H8*H9*H11)/(((1-EXP(-H10*H9))/(H10*H9))*H12*H16*H31*H32*H36*H28*(1/365)*H34*H25*(1/24))</f>
        <v>255.72415039997853</v>
      </c>
      <c r="I20" s="28" t="s">
        <v>94</v>
      </c>
      <c r="J20" s="28" t="s">
        <v>93</v>
      </c>
      <c r="K20" s="45">
        <f>(K8*K9*K11)/(((1-EXP(-K10*K9))/(K10*K9))*K12*K16*K31*K32*K36*K28*(1/365)*K34*K25*(1/24))</f>
        <v>284.13794488886504</v>
      </c>
      <c r="L20" s="28" t="s">
        <v>94</v>
      </c>
      <c r="M20" s="28" t="s">
        <v>93</v>
      </c>
      <c r="N20" s="45">
        <f>(N8*N9*N11)/(((1-EXP(-N10*N9))/(N10*N9))*N12*N16*N31*N32*N36*N28*(1/365)*N35*N25*(1/24))</f>
        <v>639.31037599994625</v>
      </c>
      <c r="O20" s="28" t="s">
        <v>94</v>
      </c>
    </row>
    <row r="21" spans="1:15" x14ac:dyDescent="0.2">
      <c r="A21" s="38" t="s">
        <v>145</v>
      </c>
      <c r="B21" s="328">
        <v>0.66173120728929402</v>
      </c>
    </row>
    <row r="22" spans="1:15" x14ac:dyDescent="0.2">
      <c r="A22" s="40" t="s">
        <v>102</v>
      </c>
      <c r="B22" s="150">
        <v>241</v>
      </c>
      <c r="C22" s="40" t="s">
        <v>103</v>
      </c>
      <c r="D22" s="60" t="s">
        <v>220</v>
      </c>
      <c r="E22" s="61">
        <f>(E24*E27*E29*E25*E31*E33*E35)+(E24*E26*E28*E25*E32*E30*E34)</f>
        <v>39291</v>
      </c>
      <c r="F22" s="62" t="s">
        <v>24</v>
      </c>
      <c r="G22" s="60" t="s">
        <v>217</v>
      </c>
      <c r="H22" s="71">
        <f>H23*H25*H24*H26*H27</f>
        <v>196</v>
      </c>
      <c r="I22" s="62" t="s">
        <v>24</v>
      </c>
      <c r="J22" s="60" t="s">
        <v>218</v>
      </c>
      <c r="K22" s="71">
        <f>K23*K25*K24*K26*K27</f>
        <v>196</v>
      </c>
      <c r="L22" s="62" t="s">
        <v>24</v>
      </c>
      <c r="M22" s="60" t="s">
        <v>219</v>
      </c>
      <c r="N22" s="71">
        <f>N23*N25*N24*N26*N27</f>
        <v>294</v>
      </c>
      <c r="O22" s="62" t="s">
        <v>24</v>
      </c>
    </row>
    <row r="23" spans="1:15" x14ac:dyDescent="0.2">
      <c r="A23" t="s">
        <v>90</v>
      </c>
      <c r="B23" s="188">
        <v>1.393</v>
      </c>
      <c r="D23" s="63" t="s">
        <v>221</v>
      </c>
      <c r="E23" s="64">
        <f>(E37*E29*E31)+(E36*E28*E30)</f>
        <v>6195</v>
      </c>
      <c r="F23" s="65" t="s">
        <v>25</v>
      </c>
      <c r="G23" s="63" t="s">
        <v>162</v>
      </c>
      <c r="H23" s="66">
        <f>B27</f>
        <v>0.5</v>
      </c>
      <c r="I23" s="65"/>
      <c r="J23" s="63" t="s">
        <v>162</v>
      </c>
      <c r="K23" s="66">
        <f>B27</f>
        <v>0.5</v>
      </c>
      <c r="L23" s="65"/>
      <c r="M23" s="63" t="s">
        <v>162</v>
      </c>
      <c r="N23" s="66">
        <f>B27</f>
        <v>0.5</v>
      </c>
      <c r="O23" s="65"/>
    </row>
    <row r="24" spans="1:15" x14ac:dyDescent="0.2">
      <c r="A24" s="28" t="s">
        <v>139</v>
      </c>
      <c r="B24" s="55">
        <v>1</v>
      </c>
      <c r="D24" s="63" t="s">
        <v>162</v>
      </c>
      <c r="E24" s="66">
        <f>B27</f>
        <v>0.5</v>
      </c>
      <c r="F24" s="65"/>
      <c r="G24" s="63" t="s">
        <v>119</v>
      </c>
      <c r="H24" s="66">
        <f>B28</f>
        <v>0.5</v>
      </c>
      <c r="I24" s="65"/>
      <c r="J24" s="63" t="s">
        <v>119</v>
      </c>
      <c r="K24" s="66">
        <f>B28</f>
        <v>0.5</v>
      </c>
      <c r="L24" s="65"/>
      <c r="M24" s="63" t="s">
        <v>119</v>
      </c>
      <c r="N24" s="66">
        <f>B28</f>
        <v>0.5</v>
      </c>
      <c r="O24" s="65"/>
    </row>
    <row r="25" spans="1:15" x14ac:dyDescent="0.2">
      <c r="A25" s="28" t="s">
        <v>3</v>
      </c>
      <c r="B25" s="55">
        <v>1</v>
      </c>
      <c r="C25" s="37"/>
      <c r="D25" s="63" t="s">
        <v>119</v>
      </c>
      <c r="E25" s="66">
        <f>B28</f>
        <v>0.5</v>
      </c>
      <c r="F25" s="65"/>
      <c r="G25" s="63" t="s">
        <v>122</v>
      </c>
      <c r="H25" s="66">
        <f>B58</f>
        <v>8</v>
      </c>
      <c r="I25" s="65" t="s">
        <v>203</v>
      </c>
      <c r="J25" s="63" t="s">
        <v>132</v>
      </c>
      <c r="K25" s="66">
        <f>B67</f>
        <v>8</v>
      </c>
      <c r="L25" s="65" t="s">
        <v>203</v>
      </c>
      <c r="M25" s="63" t="s">
        <v>14</v>
      </c>
      <c r="N25" s="66">
        <f>B76</f>
        <v>8</v>
      </c>
      <c r="O25" s="65" t="s">
        <v>203</v>
      </c>
    </row>
    <row r="26" spans="1:15" x14ac:dyDescent="0.2">
      <c r="A26" s="28" t="s">
        <v>27</v>
      </c>
      <c r="B26" s="55">
        <v>1</v>
      </c>
      <c r="C26" s="37"/>
      <c r="D26" s="67" t="s">
        <v>159</v>
      </c>
      <c r="E26" s="66">
        <f>B40</f>
        <v>4</v>
      </c>
      <c r="F26" s="65" t="s">
        <v>203</v>
      </c>
      <c r="G26" s="63" t="s">
        <v>136</v>
      </c>
      <c r="H26" s="66">
        <f>B62</f>
        <v>49</v>
      </c>
      <c r="I26" s="65" t="s">
        <v>24</v>
      </c>
      <c r="J26" s="63" t="s">
        <v>130</v>
      </c>
      <c r="K26" s="66">
        <f>B71</f>
        <v>49</v>
      </c>
      <c r="L26" s="65" t="s">
        <v>24</v>
      </c>
      <c r="M26" s="63" t="s">
        <v>17</v>
      </c>
      <c r="N26" s="66">
        <f>B80</f>
        <v>49</v>
      </c>
      <c r="O26" s="65" t="s">
        <v>24</v>
      </c>
    </row>
    <row r="27" spans="1:15" x14ac:dyDescent="0.2">
      <c r="A27" s="28" t="s">
        <v>162</v>
      </c>
      <c r="B27" s="55">
        <v>0.5</v>
      </c>
      <c r="C27" s="37"/>
      <c r="D27" s="67" t="s">
        <v>158</v>
      </c>
      <c r="E27" s="66">
        <f>B39</f>
        <v>4</v>
      </c>
      <c r="F27" s="65" t="s">
        <v>203</v>
      </c>
      <c r="G27" s="68" t="s">
        <v>137</v>
      </c>
      <c r="H27" s="69">
        <f>B64</f>
        <v>2</v>
      </c>
      <c r="I27" s="70" t="s">
        <v>204</v>
      </c>
      <c r="J27" s="68" t="s">
        <v>131</v>
      </c>
      <c r="K27" s="69">
        <f>B73</f>
        <v>2</v>
      </c>
      <c r="L27" s="70" t="s">
        <v>204</v>
      </c>
      <c r="M27" s="68" t="s">
        <v>18</v>
      </c>
      <c r="N27" s="69">
        <f>B82</f>
        <v>3</v>
      </c>
      <c r="O27" s="70" t="s">
        <v>204</v>
      </c>
    </row>
    <row r="28" spans="1:15" x14ac:dyDescent="0.2">
      <c r="A28" s="28" t="s">
        <v>119</v>
      </c>
      <c r="B28" s="55">
        <v>0.5</v>
      </c>
      <c r="C28" s="40"/>
      <c r="D28" s="67" t="s">
        <v>157</v>
      </c>
      <c r="E28" s="66">
        <f>B37</f>
        <v>350</v>
      </c>
      <c r="F28" s="65" t="s">
        <v>202</v>
      </c>
      <c r="G28" s="63" t="s">
        <v>133</v>
      </c>
      <c r="H28" s="66">
        <f>B57</f>
        <v>250</v>
      </c>
      <c r="I28" s="74" t="s">
        <v>202</v>
      </c>
      <c r="J28" s="74" t="s">
        <v>128</v>
      </c>
      <c r="K28" s="66">
        <f>B66</f>
        <v>225</v>
      </c>
      <c r="L28" s="74" t="s">
        <v>202</v>
      </c>
      <c r="M28" s="74" t="s">
        <v>13</v>
      </c>
      <c r="N28" s="66">
        <f>B75</f>
        <v>250</v>
      </c>
      <c r="O28" s="74" t="s">
        <v>202</v>
      </c>
    </row>
    <row r="29" spans="1:15" x14ac:dyDescent="0.2">
      <c r="A29" s="28" t="s">
        <v>29</v>
      </c>
      <c r="B29" s="55">
        <v>0.4</v>
      </c>
      <c r="C29" s="28"/>
      <c r="D29" s="67" t="s">
        <v>156</v>
      </c>
      <c r="E29" s="66">
        <f>B36</f>
        <v>350</v>
      </c>
      <c r="F29" s="65" t="s">
        <v>202</v>
      </c>
      <c r="G29" s="63" t="s">
        <v>134</v>
      </c>
      <c r="H29" s="66">
        <f>B63</f>
        <v>2.5</v>
      </c>
      <c r="I29" s="74" t="s">
        <v>26</v>
      </c>
      <c r="J29" s="74" t="s">
        <v>127</v>
      </c>
      <c r="K29" s="66">
        <v>2.5</v>
      </c>
      <c r="L29" s="74" t="s">
        <v>26</v>
      </c>
      <c r="M29" s="74" t="s">
        <v>12</v>
      </c>
      <c r="N29" s="66">
        <f>B81</f>
        <v>2.5</v>
      </c>
      <c r="O29" s="74" t="s">
        <v>26</v>
      </c>
    </row>
    <row r="30" spans="1:15" x14ac:dyDescent="0.2">
      <c r="A30" s="54" t="s">
        <v>99</v>
      </c>
      <c r="B30" s="55">
        <v>1</v>
      </c>
      <c r="C30" s="28"/>
      <c r="D30" s="63" t="s">
        <v>163</v>
      </c>
      <c r="E30" s="66">
        <f>B54</f>
        <v>0.77</v>
      </c>
      <c r="F30" s="65"/>
      <c r="G30" s="28" t="s">
        <v>135</v>
      </c>
      <c r="H30" s="32">
        <f>B61</f>
        <v>1</v>
      </c>
      <c r="I30" s="28" t="s">
        <v>205</v>
      </c>
      <c r="J30" s="28" t="s">
        <v>129</v>
      </c>
      <c r="K30" s="32">
        <f>B70</f>
        <v>1</v>
      </c>
      <c r="L30" s="28" t="s">
        <v>205</v>
      </c>
      <c r="M30" s="28" t="s">
        <v>15</v>
      </c>
      <c r="N30" s="32">
        <f>B79</f>
        <v>1</v>
      </c>
      <c r="O30" s="28" t="s">
        <v>205</v>
      </c>
    </row>
    <row r="31" spans="1:15" x14ac:dyDescent="0.2">
      <c r="A31" s="54" t="s">
        <v>16</v>
      </c>
      <c r="B31" s="55">
        <v>0.4</v>
      </c>
      <c r="C31" s="28"/>
      <c r="D31" s="63" t="s">
        <v>164</v>
      </c>
      <c r="E31" s="66">
        <f>B55</f>
        <v>0.23</v>
      </c>
      <c r="F31" s="65"/>
      <c r="G31" s="28" t="s">
        <v>3</v>
      </c>
      <c r="H31" s="32">
        <f>B25</f>
        <v>1</v>
      </c>
      <c r="J31" s="28" t="s">
        <v>3</v>
      </c>
      <c r="K31" s="32">
        <f>B25</f>
        <v>1</v>
      </c>
      <c r="M31" s="28" t="s">
        <v>3</v>
      </c>
      <c r="N31" s="32">
        <f>B25</f>
        <v>1</v>
      </c>
    </row>
    <row r="32" spans="1:15" x14ac:dyDescent="0.2">
      <c r="A32" s="54" t="s">
        <v>31</v>
      </c>
      <c r="B32" s="52">
        <v>666666666</v>
      </c>
      <c r="C32" s="54" t="s">
        <v>32</v>
      </c>
      <c r="D32" s="63" t="s">
        <v>147</v>
      </c>
      <c r="E32" s="66">
        <f>B52</f>
        <v>49</v>
      </c>
      <c r="F32" s="65" t="s">
        <v>24</v>
      </c>
      <c r="G32" s="28" t="s">
        <v>27</v>
      </c>
      <c r="H32" s="32">
        <f>B26</f>
        <v>1</v>
      </c>
      <c r="J32" s="28" t="s">
        <v>27</v>
      </c>
      <c r="K32" s="32">
        <f>B26</f>
        <v>1</v>
      </c>
      <c r="M32" s="28" t="s">
        <v>27</v>
      </c>
      <c r="N32" s="32">
        <f>B26</f>
        <v>1</v>
      </c>
    </row>
    <row r="33" spans="1:15" x14ac:dyDescent="0.2">
      <c r="A33" s="38" t="s">
        <v>65</v>
      </c>
      <c r="B33" s="42">
        <v>0.38</v>
      </c>
      <c r="D33" s="63" t="s">
        <v>146</v>
      </c>
      <c r="E33" s="66">
        <f>B53</f>
        <v>16</v>
      </c>
      <c r="F33" s="65" t="s">
        <v>24</v>
      </c>
      <c r="G33" s="28" t="s">
        <v>29</v>
      </c>
      <c r="H33" s="32">
        <f>B29</f>
        <v>0.4</v>
      </c>
      <c r="J33" s="28" t="s">
        <v>29</v>
      </c>
      <c r="K33" s="32">
        <f>B29</f>
        <v>0.4</v>
      </c>
      <c r="M33" s="28" t="s">
        <v>29</v>
      </c>
      <c r="N33" s="32">
        <f>B29</f>
        <v>0.4</v>
      </c>
    </row>
    <row r="34" spans="1:15" ht="15" x14ac:dyDescent="0.2">
      <c r="A34" s="367" t="s">
        <v>7</v>
      </c>
      <c r="B34" s="367"/>
      <c r="C34" s="368"/>
      <c r="D34" s="67" t="s">
        <v>151</v>
      </c>
      <c r="E34" s="66">
        <f>B48</f>
        <v>2</v>
      </c>
      <c r="F34" s="65" t="s">
        <v>204</v>
      </c>
      <c r="G34" s="54" t="s">
        <v>99</v>
      </c>
      <c r="H34" s="32">
        <f>B30</f>
        <v>1</v>
      </c>
      <c r="J34" s="54" t="s">
        <v>99</v>
      </c>
      <c r="K34" s="32">
        <f>B30</f>
        <v>1</v>
      </c>
      <c r="M34" s="54" t="s">
        <v>99</v>
      </c>
      <c r="N34" s="32">
        <f>B30</f>
        <v>1</v>
      </c>
    </row>
    <row r="35" spans="1:15" x14ac:dyDescent="0.2">
      <c r="A35" s="40" t="s">
        <v>155</v>
      </c>
      <c r="B35" s="166">
        <v>350</v>
      </c>
      <c r="C35" s="40" t="s">
        <v>202</v>
      </c>
      <c r="D35" s="67" t="s">
        <v>150</v>
      </c>
      <c r="E35" s="66">
        <f>B49</f>
        <v>10</v>
      </c>
      <c r="F35" s="65" t="s">
        <v>204</v>
      </c>
      <c r="G35" s="54" t="s">
        <v>16</v>
      </c>
      <c r="H35" s="32">
        <f>B31</f>
        <v>0.4</v>
      </c>
      <c r="J35" s="54" t="s">
        <v>16</v>
      </c>
      <c r="K35" s="32">
        <f>B31</f>
        <v>0.4</v>
      </c>
      <c r="M35" s="54" t="s">
        <v>16</v>
      </c>
      <c r="N35" s="32">
        <f>B31</f>
        <v>0.4</v>
      </c>
    </row>
    <row r="36" spans="1:15" x14ac:dyDescent="0.2">
      <c r="A36" s="40" t="s">
        <v>156</v>
      </c>
      <c r="B36" s="166">
        <v>350</v>
      </c>
      <c r="C36" s="40" t="s">
        <v>202</v>
      </c>
      <c r="D36" s="63" t="s">
        <v>149</v>
      </c>
      <c r="E36" s="66">
        <f>B47</f>
        <v>20</v>
      </c>
      <c r="F36" s="65" t="s">
        <v>26</v>
      </c>
      <c r="G36" s="28" t="s">
        <v>30</v>
      </c>
      <c r="H36" s="43">
        <f>B18</f>
        <v>0.80851063829787195</v>
      </c>
      <c r="J36" s="28" t="s">
        <v>30</v>
      </c>
      <c r="K36" s="43">
        <f>B18</f>
        <v>0.80851063829787195</v>
      </c>
      <c r="M36" s="28" t="s">
        <v>30</v>
      </c>
      <c r="N36" s="43">
        <f>B18</f>
        <v>0.80851063829787195</v>
      </c>
    </row>
    <row r="37" spans="1:15" x14ac:dyDescent="0.2">
      <c r="A37" s="40" t="s">
        <v>157</v>
      </c>
      <c r="B37" s="166">
        <v>350</v>
      </c>
      <c r="C37" s="40" t="s">
        <v>202</v>
      </c>
      <c r="D37" s="68" t="s">
        <v>148</v>
      </c>
      <c r="E37" s="69">
        <f>B46</f>
        <v>10</v>
      </c>
      <c r="F37" s="70" t="s">
        <v>26</v>
      </c>
      <c r="G37" s="54" t="s">
        <v>31</v>
      </c>
      <c r="H37" s="53">
        <f>B32</f>
        <v>666666666</v>
      </c>
      <c r="I37" s="54" t="s">
        <v>32</v>
      </c>
      <c r="J37" s="54" t="s">
        <v>31</v>
      </c>
      <c r="K37" s="53">
        <f>B32</f>
        <v>666666666</v>
      </c>
      <c r="L37" s="54" t="s">
        <v>32</v>
      </c>
      <c r="M37" s="54" t="s">
        <v>31</v>
      </c>
      <c r="N37" s="53">
        <f>B32</f>
        <v>666666666</v>
      </c>
      <c r="O37" s="54" t="s">
        <v>32</v>
      </c>
    </row>
    <row r="38" spans="1:15" x14ac:dyDescent="0.2">
      <c r="A38" s="40" t="s">
        <v>154</v>
      </c>
      <c r="B38" s="42">
        <v>24</v>
      </c>
      <c r="C38" s="40" t="s">
        <v>203</v>
      </c>
      <c r="D38" s="28" t="s">
        <v>125</v>
      </c>
      <c r="E38" s="32">
        <f>B43</f>
        <v>1</v>
      </c>
      <c r="F38" s="28" t="s">
        <v>205</v>
      </c>
      <c r="G38" s="44" t="s">
        <v>98</v>
      </c>
      <c r="H38" s="43">
        <f>PEF!K2</f>
        <v>46142917.395111896</v>
      </c>
      <c r="I38" s="28" t="s">
        <v>34</v>
      </c>
      <c r="J38" s="44" t="s">
        <v>98</v>
      </c>
      <c r="K38" s="43">
        <f>PEF!K2</f>
        <v>46142917.395111896</v>
      </c>
      <c r="L38" s="28" t="s">
        <v>34</v>
      </c>
      <c r="M38" s="44" t="s">
        <v>98</v>
      </c>
      <c r="N38" s="43">
        <f>PEF!K2</f>
        <v>46142917.395111896</v>
      </c>
      <c r="O38" s="28" t="s">
        <v>34</v>
      </c>
    </row>
    <row r="39" spans="1:15" x14ac:dyDescent="0.2">
      <c r="A39" s="40" t="s">
        <v>158</v>
      </c>
      <c r="B39" s="42">
        <v>4</v>
      </c>
      <c r="C39" s="40" t="s">
        <v>203</v>
      </c>
      <c r="D39" s="28" t="s">
        <v>3</v>
      </c>
      <c r="E39" s="32">
        <f>B25</f>
        <v>1</v>
      </c>
      <c r="G39" s="28" t="s">
        <v>33</v>
      </c>
      <c r="H39" s="43">
        <f>PEF!C2</f>
        <v>1365593623.3683286</v>
      </c>
      <c r="I39" s="28" t="s">
        <v>34</v>
      </c>
      <c r="J39" s="28" t="s">
        <v>33</v>
      </c>
      <c r="K39" s="43">
        <f>PEF!C2</f>
        <v>1365593623.3683286</v>
      </c>
      <c r="L39" s="28" t="s">
        <v>34</v>
      </c>
      <c r="M39" s="28" t="s">
        <v>33</v>
      </c>
      <c r="N39" s="43">
        <f>PEF!C2</f>
        <v>1365593623.3683286</v>
      </c>
      <c r="O39" s="28" t="s">
        <v>34</v>
      </c>
    </row>
    <row r="40" spans="1:15" x14ac:dyDescent="0.2">
      <c r="A40" s="40" t="s">
        <v>159</v>
      </c>
      <c r="B40" s="42">
        <v>4</v>
      </c>
      <c r="C40" s="40" t="s">
        <v>203</v>
      </c>
      <c r="D40" s="28" t="s">
        <v>27</v>
      </c>
      <c r="E40" s="32">
        <f>B26</f>
        <v>1</v>
      </c>
      <c r="G40" s="28" t="s">
        <v>102</v>
      </c>
      <c r="H40" s="32">
        <f>B22</f>
        <v>241</v>
      </c>
      <c r="I40" s="28" t="s">
        <v>103</v>
      </c>
      <c r="J40" s="28" t="s">
        <v>102</v>
      </c>
      <c r="K40" s="32">
        <f>B22</f>
        <v>241</v>
      </c>
      <c r="L40" s="28" t="s">
        <v>103</v>
      </c>
      <c r="M40" s="28" t="s">
        <v>102</v>
      </c>
      <c r="N40" s="32">
        <f>B22</f>
        <v>241</v>
      </c>
      <c r="O40" s="28" t="s">
        <v>103</v>
      </c>
    </row>
    <row r="41" spans="1:15" x14ac:dyDescent="0.2">
      <c r="A41" s="40" t="s">
        <v>152</v>
      </c>
      <c r="B41" s="42">
        <v>24</v>
      </c>
      <c r="C41" s="40" t="s">
        <v>203</v>
      </c>
      <c r="D41" s="28" t="s">
        <v>160</v>
      </c>
      <c r="E41" s="32">
        <f>B50</f>
        <v>1.752</v>
      </c>
      <c r="F41" s="28" t="s">
        <v>203</v>
      </c>
      <c r="G41" s="28" t="s">
        <v>100</v>
      </c>
      <c r="H41" s="207">
        <v>27.027027027027</v>
      </c>
      <c r="I41" s="208" t="s">
        <v>101</v>
      </c>
      <c r="J41" s="208" t="s">
        <v>100</v>
      </c>
      <c r="K41" s="207">
        <v>27.027027027027</v>
      </c>
      <c r="L41" s="208" t="s">
        <v>101</v>
      </c>
      <c r="M41" s="208" t="s">
        <v>100</v>
      </c>
      <c r="N41" s="207">
        <v>27.027027027027</v>
      </c>
      <c r="O41" s="28" t="s">
        <v>101</v>
      </c>
    </row>
    <row r="42" spans="1:15" x14ac:dyDescent="0.2">
      <c r="A42" s="40" t="s">
        <v>153</v>
      </c>
      <c r="B42" s="42">
        <v>24</v>
      </c>
      <c r="C42" s="40" t="s">
        <v>203</v>
      </c>
      <c r="D42" s="28" t="s">
        <v>161</v>
      </c>
      <c r="E42" s="32">
        <f>B51</f>
        <v>16.399999999999999</v>
      </c>
      <c r="F42" s="28" t="s">
        <v>203</v>
      </c>
      <c r="G42" s="28" t="s">
        <v>104</v>
      </c>
      <c r="H42" s="32">
        <f>2.8*(10^(-15))</f>
        <v>2.8000000000000001E-15</v>
      </c>
      <c r="J42" s="28" t="s">
        <v>104</v>
      </c>
      <c r="K42" s="32">
        <f>2.8*(10^(-15))</f>
        <v>2.8000000000000001E-15</v>
      </c>
      <c r="M42" s="28" t="s">
        <v>104</v>
      </c>
      <c r="N42" s="32">
        <f>2.8*(10^(-15))</f>
        <v>2.8000000000000001E-15</v>
      </c>
    </row>
    <row r="43" spans="1:15" x14ac:dyDescent="0.2">
      <c r="A43" s="40" t="s">
        <v>125</v>
      </c>
      <c r="B43" s="42">
        <v>1</v>
      </c>
      <c r="C43" s="40" t="s">
        <v>10</v>
      </c>
      <c r="D43" s="28" t="s">
        <v>29</v>
      </c>
      <c r="E43" s="32">
        <f>B29</f>
        <v>0.4</v>
      </c>
    </row>
    <row r="44" spans="1:15" x14ac:dyDescent="0.2">
      <c r="A44" s="40" t="s">
        <v>146</v>
      </c>
      <c r="B44" s="42">
        <v>16</v>
      </c>
      <c r="C44" s="40" t="s">
        <v>120</v>
      </c>
      <c r="D44" s="54" t="s">
        <v>99</v>
      </c>
      <c r="E44" s="32">
        <f>B30</f>
        <v>1</v>
      </c>
    </row>
    <row r="45" spans="1:15" x14ac:dyDescent="0.2">
      <c r="A45" s="40" t="s">
        <v>147</v>
      </c>
      <c r="B45" s="42">
        <v>49</v>
      </c>
      <c r="C45" s="40" t="s">
        <v>120</v>
      </c>
      <c r="D45" s="54" t="s">
        <v>16</v>
      </c>
      <c r="E45" s="32">
        <f>B31</f>
        <v>0.4</v>
      </c>
    </row>
    <row r="46" spans="1:15" x14ac:dyDescent="0.2">
      <c r="A46" s="40" t="s">
        <v>148</v>
      </c>
      <c r="B46" s="42">
        <v>10</v>
      </c>
      <c r="C46" s="40" t="s">
        <v>121</v>
      </c>
      <c r="D46" s="28" t="s">
        <v>30</v>
      </c>
      <c r="E46" s="43">
        <f>B18</f>
        <v>0.80851063829787195</v>
      </c>
    </row>
    <row r="47" spans="1:15" x14ac:dyDescent="0.2">
      <c r="A47" s="40" t="s">
        <v>149</v>
      </c>
      <c r="B47" s="42">
        <v>20</v>
      </c>
      <c r="C47" s="40" t="s">
        <v>121</v>
      </c>
      <c r="D47" s="54" t="s">
        <v>31</v>
      </c>
      <c r="E47" s="53">
        <f>B32</f>
        <v>666666666</v>
      </c>
      <c r="F47" s="54" t="s">
        <v>32</v>
      </c>
    </row>
    <row r="48" spans="1:15" x14ac:dyDescent="0.2">
      <c r="A48" s="40" t="s">
        <v>151</v>
      </c>
      <c r="B48" s="55">
        <v>2</v>
      </c>
      <c r="C48" s="28" t="s">
        <v>204</v>
      </c>
      <c r="D48" s="44" t="s">
        <v>98</v>
      </c>
      <c r="E48" s="43">
        <f>PEF!I2</f>
        <v>46142766.007587641</v>
      </c>
      <c r="F48" s="28" t="s">
        <v>34</v>
      </c>
    </row>
    <row r="49" spans="1:6" x14ac:dyDescent="0.2">
      <c r="A49" s="40" t="s">
        <v>150</v>
      </c>
      <c r="B49" s="55">
        <v>10</v>
      </c>
      <c r="C49" s="28" t="s">
        <v>204</v>
      </c>
      <c r="D49" s="28" t="s">
        <v>33</v>
      </c>
      <c r="E49" s="43">
        <f>PEF!C2</f>
        <v>1365593623.3683286</v>
      </c>
      <c r="F49" s="28" t="s">
        <v>34</v>
      </c>
    </row>
    <row r="50" spans="1:6" x14ac:dyDescent="0.2">
      <c r="A50" s="28" t="s">
        <v>160</v>
      </c>
      <c r="B50" s="55">
        <v>1.752</v>
      </c>
      <c r="C50" s="28" t="s">
        <v>203</v>
      </c>
      <c r="D50" s="28" t="s">
        <v>102</v>
      </c>
      <c r="E50" s="32">
        <f>B22</f>
        <v>241</v>
      </c>
      <c r="F50" s="28" t="s">
        <v>103</v>
      </c>
    </row>
    <row r="51" spans="1:6" x14ac:dyDescent="0.2">
      <c r="A51" s="28" t="s">
        <v>161</v>
      </c>
      <c r="B51" s="55">
        <v>16.399999999999999</v>
      </c>
      <c r="C51" s="28" t="s">
        <v>203</v>
      </c>
      <c r="D51" s="28" t="s">
        <v>100</v>
      </c>
      <c r="E51" s="207">
        <v>27.027027027027</v>
      </c>
      <c r="F51" s="28" t="s">
        <v>101</v>
      </c>
    </row>
    <row r="52" spans="1:6" x14ac:dyDescent="0.2">
      <c r="A52" s="28" t="s">
        <v>147</v>
      </c>
      <c r="B52" s="55">
        <v>49</v>
      </c>
      <c r="C52" s="28" t="s">
        <v>24</v>
      </c>
      <c r="D52" s="28" t="s">
        <v>104</v>
      </c>
      <c r="E52" s="32">
        <f>2.8*(10^(-15))</f>
        <v>2.8000000000000001E-15</v>
      </c>
    </row>
    <row r="53" spans="1:6" x14ac:dyDescent="0.2">
      <c r="A53" s="28" t="s">
        <v>146</v>
      </c>
      <c r="B53" s="55">
        <v>16</v>
      </c>
      <c r="C53" s="28" t="s">
        <v>24</v>
      </c>
    </row>
    <row r="54" spans="1:6" x14ac:dyDescent="0.2">
      <c r="A54" s="28" t="s">
        <v>163</v>
      </c>
      <c r="B54" s="55">
        <v>0.77</v>
      </c>
      <c r="C54" s="28"/>
      <c r="F54" s="31" t="s">
        <v>194</v>
      </c>
    </row>
    <row r="55" spans="1:6" x14ac:dyDescent="0.2">
      <c r="A55" s="28" t="s">
        <v>164</v>
      </c>
      <c r="B55" s="55">
        <v>0.23</v>
      </c>
      <c r="C55" s="28"/>
      <c r="F55" s="31" t="s">
        <v>95</v>
      </c>
    </row>
    <row r="56" spans="1:6" ht="15" x14ac:dyDescent="0.2">
      <c r="A56" s="369" t="s">
        <v>180</v>
      </c>
      <c r="B56" s="369"/>
      <c r="C56" s="369"/>
      <c r="F56" s="31" t="s">
        <v>96</v>
      </c>
    </row>
    <row r="57" spans="1:6" x14ac:dyDescent="0.2">
      <c r="A57" s="40" t="s">
        <v>133</v>
      </c>
      <c r="B57" s="166">
        <v>250</v>
      </c>
      <c r="C57" s="40" t="s">
        <v>202</v>
      </c>
      <c r="F57" s="31" t="s">
        <v>97</v>
      </c>
    </row>
    <row r="58" spans="1:6" x14ac:dyDescent="0.2">
      <c r="A58" s="40" t="s">
        <v>122</v>
      </c>
      <c r="B58" s="42">
        <v>8</v>
      </c>
      <c r="C58" s="40" t="s">
        <v>203</v>
      </c>
    </row>
    <row r="59" spans="1:6" x14ac:dyDescent="0.2">
      <c r="A59" s="40" t="s">
        <v>185</v>
      </c>
      <c r="B59" s="42">
        <v>4</v>
      </c>
      <c r="C59" s="40" t="s">
        <v>203</v>
      </c>
    </row>
    <row r="60" spans="1:6" x14ac:dyDescent="0.2">
      <c r="A60" s="40" t="s">
        <v>186</v>
      </c>
      <c r="B60" s="42">
        <v>4</v>
      </c>
      <c r="C60" s="40" t="s">
        <v>203</v>
      </c>
    </row>
    <row r="61" spans="1:6" x14ac:dyDescent="0.2">
      <c r="A61" s="40" t="s">
        <v>135</v>
      </c>
      <c r="B61" s="42">
        <v>1</v>
      </c>
      <c r="C61" s="40" t="s">
        <v>10</v>
      </c>
    </row>
    <row r="62" spans="1:6" x14ac:dyDescent="0.2">
      <c r="A62" s="40" t="s">
        <v>136</v>
      </c>
      <c r="B62" s="42">
        <v>49</v>
      </c>
      <c r="C62" s="40" t="s">
        <v>120</v>
      </c>
    </row>
    <row r="63" spans="1:6" x14ac:dyDescent="0.2">
      <c r="A63" s="40" t="s">
        <v>134</v>
      </c>
      <c r="B63" s="42">
        <v>2.5</v>
      </c>
      <c r="C63" s="40" t="s">
        <v>121</v>
      </c>
    </row>
    <row r="64" spans="1:6" x14ac:dyDescent="0.2">
      <c r="A64" s="40" t="s">
        <v>137</v>
      </c>
      <c r="B64" s="42">
        <v>2</v>
      </c>
      <c r="C64" s="40" t="s">
        <v>204</v>
      </c>
    </row>
    <row r="65" spans="1:3" ht="15" x14ac:dyDescent="0.2">
      <c r="A65" s="370" t="s">
        <v>181</v>
      </c>
      <c r="B65" s="370"/>
      <c r="C65" s="370"/>
    </row>
    <row r="66" spans="1:3" x14ac:dyDescent="0.2">
      <c r="A66" s="40" t="s">
        <v>128</v>
      </c>
      <c r="B66" s="166">
        <v>225</v>
      </c>
      <c r="C66" s="40" t="s">
        <v>202</v>
      </c>
    </row>
    <row r="67" spans="1:3" x14ac:dyDescent="0.2">
      <c r="A67" s="40" t="s">
        <v>122</v>
      </c>
      <c r="B67" s="42">
        <v>8</v>
      </c>
      <c r="C67" s="40" t="s">
        <v>203</v>
      </c>
    </row>
    <row r="68" spans="1:3" x14ac:dyDescent="0.2">
      <c r="A68" s="40" t="s">
        <v>183</v>
      </c>
      <c r="B68" s="42">
        <v>4</v>
      </c>
      <c r="C68" s="40" t="s">
        <v>203</v>
      </c>
    </row>
    <row r="69" spans="1:3" x14ac:dyDescent="0.2">
      <c r="A69" s="40" t="s">
        <v>184</v>
      </c>
      <c r="B69" s="42">
        <v>4</v>
      </c>
      <c r="C69" s="40" t="s">
        <v>203</v>
      </c>
    </row>
    <row r="70" spans="1:3" x14ac:dyDescent="0.2">
      <c r="A70" s="40" t="s">
        <v>129</v>
      </c>
      <c r="B70" s="42">
        <v>1</v>
      </c>
      <c r="C70" s="40" t="s">
        <v>10</v>
      </c>
    </row>
    <row r="71" spans="1:3" x14ac:dyDescent="0.2">
      <c r="A71" s="40" t="s">
        <v>130</v>
      </c>
      <c r="B71" s="42">
        <v>49</v>
      </c>
      <c r="C71" s="40" t="s">
        <v>120</v>
      </c>
    </row>
    <row r="72" spans="1:3" x14ac:dyDescent="0.2">
      <c r="A72" s="40" t="s">
        <v>127</v>
      </c>
      <c r="B72" s="42">
        <v>2.5</v>
      </c>
      <c r="C72" s="40" t="s">
        <v>121</v>
      </c>
    </row>
    <row r="73" spans="1:3" x14ac:dyDescent="0.2">
      <c r="A73" s="40" t="s">
        <v>131</v>
      </c>
      <c r="B73" s="42">
        <v>2</v>
      </c>
      <c r="C73" s="40" t="s">
        <v>204</v>
      </c>
    </row>
    <row r="74" spans="1:3" ht="15" x14ac:dyDescent="0.2">
      <c r="A74" s="371" t="s">
        <v>182</v>
      </c>
      <c r="B74" s="371"/>
      <c r="C74" s="371"/>
    </row>
    <row r="75" spans="1:3" x14ac:dyDescent="0.2">
      <c r="A75" s="40" t="s">
        <v>13</v>
      </c>
      <c r="B75" s="166">
        <v>250</v>
      </c>
      <c r="C75" s="40" t="s">
        <v>202</v>
      </c>
    </row>
    <row r="76" spans="1:3" x14ac:dyDescent="0.2">
      <c r="A76" s="40" t="s">
        <v>122</v>
      </c>
      <c r="B76" s="42">
        <v>8</v>
      </c>
      <c r="C76" s="40" t="s">
        <v>203</v>
      </c>
    </row>
    <row r="77" spans="1:3" x14ac:dyDescent="0.2">
      <c r="A77" s="40" t="s">
        <v>123</v>
      </c>
      <c r="B77" s="42">
        <v>4</v>
      </c>
      <c r="C77" s="40" t="s">
        <v>203</v>
      </c>
    </row>
    <row r="78" spans="1:3" x14ac:dyDescent="0.2">
      <c r="A78" s="40" t="s">
        <v>124</v>
      </c>
      <c r="B78" s="42">
        <v>4</v>
      </c>
      <c r="C78" s="40" t="s">
        <v>203</v>
      </c>
    </row>
    <row r="79" spans="1:3" x14ac:dyDescent="0.2">
      <c r="A79" s="40" t="s">
        <v>15</v>
      </c>
      <c r="B79" s="42">
        <v>1</v>
      </c>
      <c r="C79" s="40" t="s">
        <v>10</v>
      </c>
    </row>
    <row r="80" spans="1:3" x14ac:dyDescent="0.2">
      <c r="A80" s="40" t="s">
        <v>17</v>
      </c>
      <c r="B80" s="42">
        <v>49</v>
      </c>
      <c r="C80" s="40" t="s">
        <v>120</v>
      </c>
    </row>
    <row r="81" spans="1:3" x14ac:dyDescent="0.2">
      <c r="A81" s="40" t="s">
        <v>12</v>
      </c>
      <c r="B81" s="42">
        <v>2.5</v>
      </c>
      <c r="C81" s="40" t="s">
        <v>121</v>
      </c>
    </row>
    <row r="82" spans="1:3" x14ac:dyDescent="0.2">
      <c r="A82" s="40" t="s">
        <v>18</v>
      </c>
      <c r="B82" s="42">
        <v>3</v>
      </c>
      <c r="C82" s="40" t="s">
        <v>204</v>
      </c>
    </row>
  </sheetData>
  <mergeCells count="10">
    <mergeCell ref="A34:C34"/>
    <mergeCell ref="A56:C56"/>
    <mergeCell ref="A65:C65"/>
    <mergeCell ref="A74:C74"/>
    <mergeCell ref="A2:C5"/>
    <mergeCell ref="M1:O1"/>
    <mergeCell ref="J1:L1"/>
    <mergeCell ref="G1:I1"/>
    <mergeCell ref="D1:F1"/>
    <mergeCell ref="A1:C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06"/>
  <sheetViews>
    <sheetView zoomScale="80" zoomScaleNormal="80" workbookViewId="0">
      <pane xSplit="3" ySplit="1" topLeftCell="D2" activePane="bottomRight" state="frozen"/>
      <selection pane="topRight" activeCell="D1" sqref="D1"/>
      <selection pane="bottomLeft" activeCell="A2" sqref="A2"/>
      <selection pane="bottomRight" activeCell="B23" sqref="B23"/>
    </sheetView>
  </sheetViews>
  <sheetFormatPr defaultRowHeight="12.75" x14ac:dyDescent="0.2"/>
  <cols>
    <col min="1" max="1" width="13.7109375" bestFit="1" customWidth="1"/>
    <col min="2" max="2" width="9.28515625" bestFit="1" customWidth="1"/>
    <col min="3" max="3" width="21" bestFit="1" customWidth="1"/>
    <col min="4" max="4" width="12.28515625" style="28" bestFit="1" customWidth="1"/>
    <col min="5" max="5" width="9.28515625" style="32" bestFit="1" customWidth="1"/>
    <col min="6" max="6" width="20.5703125" style="28" bestFit="1" customWidth="1"/>
    <col min="7" max="7" width="12.28515625" style="28" bestFit="1" customWidth="1"/>
    <col min="8" max="8" width="9.28515625" style="32" bestFit="1" customWidth="1"/>
    <col min="9" max="9" width="20.5703125" style="28" bestFit="1" customWidth="1"/>
    <col min="10" max="10" width="12.28515625" style="28" bestFit="1" customWidth="1"/>
    <col min="11" max="11" width="9.28515625" style="28" bestFit="1" customWidth="1"/>
    <col min="12" max="12" width="20.5703125" style="28" bestFit="1" customWidth="1"/>
    <col min="13" max="13" width="12.28515625" style="28" bestFit="1" customWidth="1"/>
    <col min="14" max="14" width="9.28515625" style="32" bestFit="1" customWidth="1"/>
    <col min="15" max="15" width="20.5703125" style="28" bestFit="1" customWidth="1"/>
  </cols>
  <sheetData>
    <row r="1" spans="1:15" ht="21.75" thickTop="1" thickBot="1" x14ac:dyDescent="0.3">
      <c r="A1" s="381" t="s">
        <v>4</v>
      </c>
      <c r="B1" s="382"/>
      <c r="C1" s="383"/>
      <c r="D1" s="361" t="s">
        <v>171</v>
      </c>
      <c r="E1" s="362"/>
      <c r="F1" s="363"/>
      <c r="G1" s="358" t="s">
        <v>172</v>
      </c>
      <c r="H1" s="359"/>
      <c r="I1" s="360"/>
      <c r="J1" s="355" t="s">
        <v>173</v>
      </c>
      <c r="K1" s="356"/>
      <c r="L1" s="357"/>
      <c r="M1" s="352" t="s">
        <v>174</v>
      </c>
      <c r="N1" s="353"/>
      <c r="O1" s="354"/>
    </row>
    <row r="2" spans="1:15" ht="13.5" customHeight="1" thickTop="1" x14ac:dyDescent="0.2">
      <c r="A2" s="384" t="s">
        <v>112</v>
      </c>
      <c r="B2" s="385"/>
      <c r="C2" s="386"/>
      <c r="D2" s="310" t="s">
        <v>175</v>
      </c>
      <c r="E2" s="311">
        <f>1/((1/E17)+(1/E18)+(1/E20))</f>
        <v>9.7087214734679975E-2</v>
      </c>
      <c r="F2" s="286" t="s">
        <v>176</v>
      </c>
      <c r="G2" s="312" t="s">
        <v>175</v>
      </c>
      <c r="H2" s="313">
        <f>1/((1/H17)+(1/H18)+(1/H20))</f>
        <v>8.8679906416506943E-2</v>
      </c>
      <c r="I2" s="302" t="s">
        <v>176</v>
      </c>
      <c r="J2" s="314" t="s">
        <v>175</v>
      </c>
      <c r="K2" s="315">
        <f>1/((1/K17)+(1/K18)+(1/K20))</f>
        <v>9.8533229351674384E-2</v>
      </c>
      <c r="L2" s="290" t="s">
        <v>176</v>
      </c>
      <c r="M2" s="316" t="s">
        <v>175</v>
      </c>
      <c r="N2" s="317">
        <f>1/((1/N17)+(1/N18)+(1/N20))</f>
        <v>8.1720111599943746E-2</v>
      </c>
      <c r="O2" s="282" t="s">
        <v>176</v>
      </c>
    </row>
    <row r="3" spans="1:15" ht="13.5" thickBot="1" x14ac:dyDescent="0.25">
      <c r="A3" s="387"/>
      <c r="B3" s="388"/>
      <c r="C3" s="389"/>
      <c r="D3" s="285" t="s">
        <v>177</v>
      </c>
      <c r="E3" s="297">
        <f>1/((1/E17)+(1/E19)+(1/E20))</f>
        <v>0.49833996991491902</v>
      </c>
      <c r="F3" s="287" t="s">
        <v>176</v>
      </c>
      <c r="G3" s="300" t="s">
        <v>177</v>
      </c>
      <c r="H3" s="301">
        <f>1/((1/H17)+(1/H19)+(1/H20))</f>
        <v>0.41211759395010567</v>
      </c>
      <c r="I3" s="303" t="s">
        <v>176</v>
      </c>
      <c r="J3" s="289" t="s">
        <v>177</v>
      </c>
      <c r="K3" s="293">
        <f>1/((1/K17)+(1/K19)+(1/K20))</f>
        <v>0.45790843772233952</v>
      </c>
      <c r="L3" s="291" t="s">
        <v>176</v>
      </c>
      <c r="M3" s="281" t="s">
        <v>177</v>
      </c>
      <c r="N3" s="295">
        <f>1/((1/N17)+(1/N19)+(1/N20))</f>
        <v>0.29525786208571464</v>
      </c>
      <c r="O3" s="283" t="s">
        <v>176</v>
      </c>
    </row>
    <row r="4" spans="1:15" x14ac:dyDescent="0.2">
      <c r="A4" s="387"/>
      <c r="B4" s="388"/>
      <c r="C4" s="389"/>
      <c r="D4" s="284" t="s">
        <v>175</v>
      </c>
      <c r="E4" s="296">
        <f>E2/E51</f>
        <v>3.5922269451831627E-3</v>
      </c>
      <c r="F4" s="286" t="s">
        <v>178</v>
      </c>
      <c r="G4" s="298" t="s">
        <v>175</v>
      </c>
      <c r="H4" s="299">
        <f>H2/H41</f>
        <v>3.2811565374107603E-3</v>
      </c>
      <c r="I4" s="302" t="s">
        <v>178</v>
      </c>
      <c r="J4" s="288" t="s">
        <v>175</v>
      </c>
      <c r="K4" s="292">
        <f>K2/K41</f>
        <v>3.6457294860119558E-3</v>
      </c>
      <c r="L4" s="290" t="s">
        <v>178</v>
      </c>
      <c r="M4" s="280" t="s">
        <v>175</v>
      </c>
      <c r="N4" s="294">
        <f>N2/N41</f>
        <v>3.0236441291979217E-3</v>
      </c>
      <c r="O4" s="282" t="s">
        <v>178</v>
      </c>
    </row>
    <row r="5" spans="1:15" ht="13.5" thickBot="1" x14ac:dyDescent="0.25">
      <c r="A5" s="390"/>
      <c r="B5" s="391"/>
      <c r="C5" s="392"/>
      <c r="D5" s="285" t="s">
        <v>177</v>
      </c>
      <c r="E5" s="297">
        <f>E3/E51</f>
        <v>1.8438578886852023E-2</v>
      </c>
      <c r="F5" s="287" t="s">
        <v>178</v>
      </c>
      <c r="G5" s="300" t="s">
        <v>177</v>
      </c>
      <c r="H5" s="301">
        <f>H3/H41</f>
        <v>1.5248350976153926E-2</v>
      </c>
      <c r="I5" s="303" t="s">
        <v>178</v>
      </c>
      <c r="J5" s="289" t="s">
        <v>177</v>
      </c>
      <c r="K5" s="293">
        <f>K3/K41</f>
        <v>1.694261219572658E-2</v>
      </c>
      <c r="L5" s="291" t="s">
        <v>178</v>
      </c>
      <c r="M5" s="281" t="s">
        <v>177</v>
      </c>
      <c r="N5" s="295">
        <f>N3/N41</f>
        <v>1.0924540897171453E-2</v>
      </c>
      <c r="O5" s="283" t="s">
        <v>178</v>
      </c>
    </row>
    <row r="6" spans="1:15" ht="13.5" thickTop="1" x14ac:dyDescent="0.2">
      <c r="A6" s="28" t="s">
        <v>21</v>
      </c>
      <c r="B6" s="55">
        <v>1</v>
      </c>
      <c r="C6" s="28" t="s">
        <v>138</v>
      </c>
      <c r="D6" s="284" t="s">
        <v>175</v>
      </c>
      <c r="E6" s="296">
        <f>E2*E13*E50*E52</f>
        <v>1.1172796671666972E-12</v>
      </c>
      <c r="F6" s="286" t="s">
        <v>179</v>
      </c>
      <c r="G6" s="298" t="s">
        <v>175</v>
      </c>
      <c r="H6" s="299">
        <f>H2*H13*H40*H42</f>
        <v>1.0205283630411619E-12</v>
      </c>
      <c r="I6" s="302" t="s">
        <v>179</v>
      </c>
      <c r="J6" s="288" t="s">
        <v>175</v>
      </c>
      <c r="K6" s="292">
        <f>K2*K13*K40*K42</f>
        <v>1.1339204033790689E-12</v>
      </c>
      <c r="L6" s="290" t="s">
        <v>179</v>
      </c>
      <c r="M6" s="280" t="s">
        <v>175</v>
      </c>
      <c r="N6" s="294">
        <f>N2*N13*N40*N42</f>
        <v>9.4043504429215262E-13</v>
      </c>
      <c r="O6" s="282" t="s">
        <v>179</v>
      </c>
    </row>
    <row r="7" spans="1:15" ht="13.5" thickBot="1" x14ac:dyDescent="0.25">
      <c r="A7" s="38" t="s">
        <v>22</v>
      </c>
      <c r="B7" s="191">
        <v>1.5417408700798101E-4</v>
      </c>
      <c r="C7" s="40" t="s">
        <v>11</v>
      </c>
      <c r="D7" s="285" t="s">
        <v>177</v>
      </c>
      <c r="E7" s="297">
        <f>E3*E13*E50*E52</f>
        <v>5.7348963737808885E-12</v>
      </c>
      <c r="F7" s="287" t="s">
        <v>179</v>
      </c>
      <c r="G7" s="300" t="s">
        <v>177</v>
      </c>
      <c r="H7" s="301">
        <f>H3*H13*H40*H42</f>
        <v>4.7426492711778163E-12</v>
      </c>
      <c r="I7" s="303" t="s">
        <v>179</v>
      </c>
      <c r="J7" s="289" t="s">
        <v>177</v>
      </c>
      <c r="K7" s="293">
        <f>K3*K13*K40*K42</f>
        <v>5.2696103013086833E-12</v>
      </c>
      <c r="L7" s="291" t="s">
        <v>179</v>
      </c>
      <c r="M7" s="281" t="s">
        <v>177</v>
      </c>
      <c r="N7" s="295">
        <f>N3*N13*N40*N42</f>
        <v>3.3978274768824046E-12</v>
      </c>
      <c r="O7" s="283" t="s">
        <v>179</v>
      </c>
    </row>
    <row r="8" spans="1:15" x14ac:dyDescent="0.2">
      <c r="A8" s="38" t="s">
        <v>209</v>
      </c>
      <c r="B8" s="151">
        <v>4.9109405245458101E-5</v>
      </c>
      <c r="C8" s="38" t="s">
        <v>11</v>
      </c>
      <c r="D8" s="28" t="s">
        <v>21</v>
      </c>
      <c r="E8" s="32">
        <f>B6</f>
        <v>1</v>
      </c>
      <c r="F8" s="28" t="s">
        <v>138</v>
      </c>
      <c r="G8" s="28" t="s">
        <v>21</v>
      </c>
      <c r="H8" s="32">
        <f>B6</f>
        <v>1</v>
      </c>
      <c r="I8" s="28" t="s">
        <v>138</v>
      </c>
      <c r="J8" s="28" t="s">
        <v>21</v>
      </c>
      <c r="K8" s="32">
        <f>B6</f>
        <v>1</v>
      </c>
      <c r="L8" s="28" t="s">
        <v>138</v>
      </c>
      <c r="M8" s="28" t="s">
        <v>21</v>
      </c>
      <c r="N8" s="32">
        <f>B6</f>
        <v>1</v>
      </c>
      <c r="O8" s="28" t="s">
        <v>138</v>
      </c>
    </row>
    <row r="9" spans="1:15" ht="19.5" x14ac:dyDescent="0.35">
      <c r="A9" s="38" t="s">
        <v>210</v>
      </c>
      <c r="B9" s="151">
        <v>5.0319999999999999E-5</v>
      </c>
      <c r="C9" s="38" t="s">
        <v>11</v>
      </c>
      <c r="D9" s="54" t="s">
        <v>206</v>
      </c>
      <c r="E9" s="32">
        <f>E38</f>
        <v>1</v>
      </c>
      <c r="G9" s="54" t="s">
        <v>207</v>
      </c>
      <c r="H9" s="32">
        <f>H30</f>
        <v>1</v>
      </c>
      <c r="J9" s="54" t="s">
        <v>208</v>
      </c>
      <c r="K9" s="32">
        <f>K30</f>
        <v>1</v>
      </c>
      <c r="M9" s="54" t="s">
        <v>140</v>
      </c>
      <c r="N9" s="32">
        <f>N30</f>
        <v>1</v>
      </c>
    </row>
    <row r="10" spans="1:15" x14ac:dyDescent="0.2">
      <c r="A10" s="57" t="s">
        <v>113</v>
      </c>
      <c r="B10" s="189">
        <v>3.19428</v>
      </c>
      <c r="C10" s="38" t="s">
        <v>198</v>
      </c>
      <c r="D10" s="54" t="s">
        <v>65</v>
      </c>
      <c r="E10" s="32">
        <f>B33</f>
        <v>0.38</v>
      </c>
      <c r="G10" s="54" t="s">
        <v>2</v>
      </c>
      <c r="H10" s="32">
        <f>B33</f>
        <v>0.38</v>
      </c>
      <c r="J10" s="54" t="s">
        <v>2</v>
      </c>
      <c r="K10" s="32">
        <f>B33</f>
        <v>0.38</v>
      </c>
      <c r="M10" s="54" t="s">
        <v>2</v>
      </c>
      <c r="N10" s="32">
        <f>B33</f>
        <v>0.38</v>
      </c>
    </row>
    <row r="11" spans="1:15" x14ac:dyDescent="0.2">
      <c r="A11" s="57" t="s">
        <v>23</v>
      </c>
      <c r="B11" s="151">
        <v>0.64061199999999996</v>
      </c>
      <c r="C11" s="38" t="s">
        <v>199</v>
      </c>
      <c r="D11" s="54" t="s">
        <v>1</v>
      </c>
      <c r="E11" s="51">
        <f>0.693/E13</f>
        <v>2.3099999999999999E-2</v>
      </c>
      <c r="F11" s="54"/>
      <c r="G11" s="54" t="s">
        <v>1</v>
      </c>
      <c r="H11" s="51">
        <f>0.693/H13</f>
        <v>2.3099999999999999E-2</v>
      </c>
      <c r="J11" s="54" t="s">
        <v>1</v>
      </c>
      <c r="K11" s="51">
        <f>0.693/K13</f>
        <v>2.3099999999999999E-2</v>
      </c>
      <c r="L11" s="54"/>
      <c r="M11" s="54" t="s">
        <v>1</v>
      </c>
      <c r="N11" s="51">
        <f>0.693/N13</f>
        <v>2.3099999999999999E-2</v>
      </c>
      <c r="O11" s="54"/>
    </row>
    <row r="12" spans="1:15" x14ac:dyDescent="0.2">
      <c r="A12" s="57" t="s">
        <v>114</v>
      </c>
      <c r="B12" s="151">
        <v>0.63512000000000002</v>
      </c>
      <c r="C12" s="38" t="s">
        <v>198</v>
      </c>
      <c r="D12" s="28" t="s">
        <v>126</v>
      </c>
      <c r="E12" s="51">
        <f>(1-EXP(-E11*E9))</f>
        <v>2.2835237588950674E-2</v>
      </c>
      <c r="G12" s="28" t="s">
        <v>126</v>
      </c>
      <c r="H12" s="51">
        <f>(1-EXP(-H11*H9))</f>
        <v>2.2835237588950674E-2</v>
      </c>
      <c r="J12" s="28" t="s">
        <v>126</v>
      </c>
      <c r="K12" s="51">
        <f>(1-EXP(-K11*K9))</f>
        <v>2.2835237588950674E-2</v>
      </c>
      <c r="M12" s="28" t="s">
        <v>126</v>
      </c>
      <c r="N12" s="51">
        <f>(1-EXP(-N11*N9))</f>
        <v>2.2835237588950674E-2</v>
      </c>
    </row>
    <row r="13" spans="1:15" x14ac:dyDescent="0.2">
      <c r="A13" s="57" t="s">
        <v>115</v>
      </c>
      <c r="B13" s="151">
        <v>1.817564</v>
      </c>
      <c r="C13" s="38" t="s">
        <v>198</v>
      </c>
      <c r="D13" s="33" t="s">
        <v>9</v>
      </c>
      <c r="E13" s="53">
        <f>B16</f>
        <v>30</v>
      </c>
      <c r="F13" s="54" t="s">
        <v>10</v>
      </c>
      <c r="G13" s="33" t="s">
        <v>9</v>
      </c>
      <c r="H13" s="53">
        <f>B16</f>
        <v>30</v>
      </c>
      <c r="J13" s="33" t="s">
        <v>9</v>
      </c>
      <c r="K13" s="53">
        <f>B16</f>
        <v>30</v>
      </c>
      <c r="L13" s="54"/>
      <c r="M13" s="33" t="s">
        <v>9</v>
      </c>
      <c r="N13" s="53">
        <f>B16</f>
        <v>30</v>
      </c>
      <c r="O13" s="54"/>
    </row>
    <row r="14" spans="1:15" x14ac:dyDescent="0.2">
      <c r="A14" s="57" t="s">
        <v>116</v>
      </c>
      <c r="B14" s="151">
        <v>2.8393600000000001</v>
      </c>
      <c r="C14" s="38" t="s">
        <v>198</v>
      </c>
      <c r="D14" s="38" t="s">
        <v>209</v>
      </c>
      <c r="E14" s="53">
        <f>B8</f>
        <v>4.9109405245458101E-5</v>
      </c>
      <c r="F14" s="54" t="s">
        <v>11</v>
      </c>
      <c r="G14" s="38" t="s">
        <v>210</v>
      </c>
      <c r="H14" s="53">
        <f>B9</f>
        <v>5.0319999999999999E-5</v>
      </c>
      <c r="I14" s="28" t="s">
        <v>11</v>
      </c>
      <c r="J14" s="38" t="s">
        <v>210</v>
      </c>
      <c r="K14" s="53">
        <f>B9</f>
        <v>5.0319999999999999E-5</v>
      </c>
      <c r="L14" s="54" t="s">
        <v>11</v>
      </c>
      <c r="M14" s="38" t="s">
        <v>210</v>
      </c>
      <c r="N14" s="53">
        <f>B9</f>
        <v>5.0319999999999999E-5</v>
      </c>
      <c r="O14" s="54" t="s">
        <v>11</v>
      </c>
    </row>
    <row r="15" spans="1:15" x14ac:dyDescent="0.2">
      <c r="A15" s="57" t="s">
        <v>117</v>
      </c>
      <c r="B15" s="151">
        <v>4763.3999999999996</v>
      </c>
      <c r="C15" s="38" t="s">
        <v>200</v>
      </c>
      <c r="D15" s="54" t="s">
        <v>22</v>
      </c>
      <c r="E15" s="53">
        <f>B7</f>
        <v>1.5417408700798101E-4</v>
      </c>
      <c r="F15" s="54" t="s">
        <v>201</v>
      </c>
      <c r="G15" s="54" t="s">
        <v>22</v>
      </c>
      <c r="H15" s="53">
        <f>B7</f>
        <v>1.5417408700798101E-4</v>
      </c>
      <c r="I15" s="28" t="s">
        <v>201</v>
      </c>
      <c r="J15" s="54" t="s">
        <v>22</v>
      </c>
      <c r="K15" s="53">
        <f>B7</f>
        <v>1.5417408700798101E-4</v>
      </c>
      <c r="L15" s="54" t="s">
        <v>201</v>
      </c>
      <c r="M15" s="54" t="s">
        <v>22</v>
      </c>
      <c r="N15" s="53">
        <f>B7</f>
        <v>1.5417408700798101E-4</v>
      </c>
      <c r="O15" s="54" t="s">
        <v>201</v>
      </c>
    </row>
    <row r="16" spans="1:15" x14ac:dyDescent="0.2">
      <c r="A16" s="59" t="s">
        <v>9</v>
      </c>
      <c r="B16" s="151">
        <v>30</v>
      </c>
      <c r="C16" s="39" t="s">
        <v>118</v>
      </c>
      <c r="D16" s="54" t="s">
        <v>23</v>
      </c>
      <c r="E16" s="53">
        <f>B11</f>
        <v>0.64061199999999996</v>
      </c>
      <c r="F16" s="54" t="s">
        <v>198</v>
      </c>
      <c r="G16" s="54" t="s">
        <v>23</v>
      </c>
      <c r="H16" s="53">
        <f>B11</f>
        <v>0.64061199999999996</v>
      </c>
      <c r="I16" s="28" t="s">
        <v>201</v>
      </c>
      <c r="J16" s="54" t="s">
        <v>23</v>
      </c>
      <c r="K16" s="53">
        <f>B11</f>
        <v>0.64061199999999996</v>
      </c>
      <c r="L16" s="54" t="s">
        <v>201</v>
      </c>
      <c r="M16" s="54" t="s">
        <v>23</v>
      </c>
      <c r="N16" s="53">
        <f>B11</f>
        <v>0.64061199999999996</v>
      </c>
      <c r="O16" s="54" t="s">
        <v>201</v>
      </c>
    </row>
    <row r="17" spans="1:15" x14ac:dyDescent="0.2">
      <c r="A17" s="38" t="s">
        <v>141</v>
      </c>
      <c r="B17" s="328">
        <v>0.74157303370786498</v>
      </c>
      <c r="C17" s="40"/>
      <c r="D17" s="28" t="s">
        <v>92</v>
      </c>
      <c r="E17" s="47">
        <f>(E8*E9*E11)/(((1-EXP(-E10*E9))/(E10*E9))*E12*E14*E22)</f>
        <v>0.63016571647478936</v>
      </c>
      <c r="F17" s="28" t="s">
        <v>94</v>
      </c>
      <c r="G17" s="28" t="s">
        <v>92</v>
      </c>
      <c r="H17" s="47">
        <f>(H8*H9*H11)/(((1-EXP(-H10*H9))/(H10*H9))*H12*H14*H22*H28)</f>
        <v>0.49314634244298039</v>
      </c>
      <c r="I17" s="28" t="s">
        <v>94</v>
      </c>
      <c r="J17" s="28" t="s">
        <v>92</v>
      </c>
      <c r="K17" s="47">
        <f>(K8*K9*K11)/(((1-EXP(-K10*K9))/(K10*K9))*K12*K14*K22*K28)</f>
        <v>0.5479403804922004</v>
      </c>
      <c r="L17" s="28" t="s">
        <v>94</v>
      </c>
      <c r="M17" s="28" t="s">
        <v>92</v>
      </c>
      <c r="N17" s="47">
        <f>(N8*N9*N11)/(((1-EXP(-N10*N9))/(N10*N9))*N12*N14*N22*N28)</f>
        <v>0.32876422829532026</v>
      </c>
      <c r="O17" s="28" t="s">
        <v>94</v>
      </c>
    </row>
    <row r="18" spans="1:15" x14ac:dyDescent="0.2">
      <c r="A18" s="38" t="s">
        <v>142</v>
      </c>
      <c r="B18" s="328">
        <v>0.46458923512747902</v>
      </c>
      <c r="C18" s="40"/>
      <c r="D18" s="28" t="s">
        <v>166</v>
      </c>
      <c r="E18" s="46">
        <f>(E8*E9*E11)/(((1-EXP(-E10*E9))/(E10*E9))*E12*E15*E23*(1/E48)*E47*(E41+E42)*(1/24))</f>
        <v>0.11650417148412512</v>
      </c>
      <c r="F18" s="28" t="s">
        <v>94</v>
      </c>
      <c r="G18" s="28" t="s">
        <v>166</v>
      </c>
      <c r="H18" s="46">
        <f>(H8*H9*H11)/(((1-EXP(-H10*H9))/(H10*H9))*H12*H15*H29*H25*H28*(1/H38)*H37)</f>
        <v>0.10917606777445787</v>
      </c>
      <c r="I18" s="28" t="s">
        <v>94</v>
      </c>
      <c r="J18" s="28" t="s">
        <v>166</v>
      </c>
      <c r="K18" s="46">
        <f>(K8*K9*K11)/(((1-EXP(-K10*K9))/(K10*K9))*K12*K15*K29*K25*K28*(1/K38)*K37)</f>
        <v>0.12130674197161988</v>
      </c>
      <c r="L18" s="28" t="s">
        <v>94</v>
      </c>
      <c r="M18" s="28" t="s">
        <v>166</v>
      </c>
      <c r="N18" s="46">
        <f>(N8*N9*N11)/(((1-EXP(-N10*N9))/(N10*N9))*N12*N15*N29*N25*N28*(1/N38)*N37)</f>
        <v>0.10917606777445787</v>
      </c>
      <c r="O18" s="28" t="s">
        <v>94</v>
      </c>
    </row>
    <row r="19" spans="1:15" x14ac:dyDescent="0.2">
      <c r="A19" s="38" t="s">
        <v>143</v>
      </c>
      <c r="B19" s="328">
        <v>0.65256124721603603</v>
      </c>
      <c r="C19" s="40"/>
      <c r="D19" s="28" t="s">
        <v>165</v>
      </c>
      <c r="E19" s="46">
        <f>(E8*E9*E11)/(((1-EXP(-E10*E9))/(E10*E9))*E12*E15*E23*(1/E49)*E47*(E41+E42)*(1/24))</f>
        <v>3.4479370753016805</v>
      </c>
      <c r="F19" s="28" t="s">
        <v>94</v>
      </c>
      <c r="G19" s="28" t="s">
        <v>165</v>
      </c>
      <c r="H19" s="46">
        <f>(H8*H9*H11)/(((1-EXP(-H10*H9))/(H10*H9))*H12*H15*H29*H25*H28*(1/H39)*H37)</f>
        <v>3.2310514894539777</v>
      </c>
      <c r="I19" s="28" t="s">
        <v>94</v>
      </c>
      <c r="J19" s="28" t="s">
        <v>165</v>
      </c>
      <c r="K19" s="46">
        <f>(K8*K9*K11)/(((1-EXP(-K10*K9))/(K10*K9))*K12*K15*K29*K25*K28*(1/K39)*K37)</f>
        <v>3.5900572105044199</v>
      </c>
      <c r="L19" s="28" t="s">
        <v>94</v>
      </c>
      <c r="M19" s="28" t="s">
        <v>165</v>
      </c>
      <c r="N19" s="46">
        <f>(N8*N9*N11)/(((1-EXP(-N10*N9))/(N10*N9))*N12*N15*N29*N25*N28*(1/N39)*N37)</f>
        <v>3.2310514894539777</v>
      </c>
      <c r="O19" s="28" t="s">
        <v>94</v>
      </c>
    </row>
    <row r="20" spans="1:15" x14ac:dyDescent="0.2">
      <c r="A20" s="38" t="s">
        <v>144</v>
      </c>
      <c r="B20" s="328">
        <v>0.726277372262774</v>
      </c>
      <c r="D20" s="28" t="s">
        <v>93</v>
      </c>
      <c r="E20" s="45">
        <f>(E8*E9*E11)/(((1-EXP(-E10*E9))/(E10*E9))*E12*E16*E39*E40*E28*(1/365)*E46*((E41*E44)+(E42*E45))*(1/24))</f>
        <v>7.7071543672992959</v>
      </c>
      <c r="F20" s="28" t="s">
        <v>94</v>
      </c>
      <c r="G20" s="28" t="s">
        <v>93</v>
      </c>
      <c r="H20" s="45">
        <f>(H8*H9*H11)/(((1-EXP(-H10*H9))/(H10*H9))*H12*H16*H31*H32*H36*H28*(1/365)*H34*H25*(1/24))</f>
        <v>11.210826742673554</v>
      </c>
      <c r="I20" s="28" t="s">
        <v>94</v>
      </c>
      <c r="J20" s="28" t="s">
        <v>93</v>
      </c>
      <c r="K20" s="45">
        <f>(K8*K9*K11)/(((1-EXP(-K10*K9))/(K10*K9))*K12*K16*K31*K32*K36*K28*(1/365)*K34*K25*(1/24))</f>
        <v>12.456474158526168</v>
      </c>
      <c r="L20" s="28" t="s">
        <v>94</v>
      </c>
      <c r="M20" s="28" t="s">
        <v>93</v>
      </c>
      <c r="N20" s="45">
        <f>(N8*N9*N11)/(((1-EXP(-N10*N9))/(N10*N9))*N12*N16*N31*N32*N36*N28*(1/365)*N35*N25*(1/24))</f>
        <v>28.027066856683881</v>
      </c>
      <c r="O20" s="28" t="s">
        <v>94</v>
      </c>
    </row>
    <row r="21" spans="1:15" x14ac:dyDescent="0.2">
      <c r="A21" s="38" t="s">
        <v>145</v>
      </c>
      <c r="B21" s="328">
        <v>0.73648648648648596</v>
      </c>
    </row>
    <row r="22" spans="1:15" x14ac:dyDescent="0.2">
      <c r="A22" s="58" t="s">
        <v>102</v>
      </c>
      <c r="B22" s="259">
        <v>137</v>
      </c>
      <c r="C22" s="40" t="s">
        <v>103</v>
      </c>
      <c r="D22" s="60" t="s">
        <v>220</v>
      </c>
      <c r="E22" s="61">
        <f>(E24*E27*E29*E25*E31*E33*E35)+(E24*E26*E28*E25*E32*E30*E34)</f>
        <v>39291</v>
      </c>
      <c r="F22" s="62" t="s">
        <v>24</v>
      </c>
      <c r="G22" s="60" t="s">
        <v>217</v>
      </c>
      <c r="H22" s="71">
        <f>H23*H25*H24*H26*H27</f>
        <v>196</v>
      </c>
      <c r="I22" s="62" t="s">
        <v>24</v>
      </c>
      <c r="J22" s="60" t="s">
        <v>218</v>
      </c>
      <c r="K22" s="71">
        <f>K23*K25*K24*K26*K27</f>
        <v>196</v>
      </c>
      <c r="L22" s="62" t="s">
        <v>24</v>
      </c>
      <c r="M22" s="60" t="s">
        <v>219</v>
      </c>
      <c r="N22" s="71">
        <f>N23*N25*N24*N26*N27</f>
        <v>294</v>
      </c>
      <c r="O22" s="62" t="s">
        <v>24</v>
      </c>
    </row>
    <row r="23" spans="1:15" x14ac:dyDescent="0.2">
      <c r="A23" t="s">
        <v>90</v>
      </c>
      <c r="B23" s="188">
        <v>1.19</v>
      </c>
      <c r="D23" s="63" t="s">
        <v>221</v>
      </c>
      <c r="E23" s="64">
        <f>(E37*E29*E31)+(E36*E28*E30)</f>
        <v>6195</v>
      </c>
      <c r="F23" s="65" t="s">
        <v>25</v>
      </c>
      <c r="G23" s="63" t="s">
        <v>162</v>
      </c>
      <c r="H23" s="66">
        <f>B27</f>
        <v>0.5</v>
      </c>
      <c r="I23" s="65"/>
      <c r="J23" s="63" t="s">
        <v>162</v>
      </c>
      <c r="K23" s="66">
        <f>B27</f>
        <v>0.5</v>
      </c>
      <c r="L23" s="65"/>
      <c r="M23" s="63" t="s">
        <v>162</v>
      </c>
      <c r="N23" s="66">
        <f>B27</f>
        <v>0.5</v>
      </c>
      <c r="O23" s="65"/>
    </row>
    <row r="24" spans="1:15" x14ac:dyDescent="0.2">
      <c r="A24" s="28" t="s">
        <v>139</v>
      </c>
      <c r="B24" s="55">
        <v>1</v>
      </c>
      <c r="D24" s="63" t="s">
        <v>162</v>
      </c>
      <c r="E24" s="66">
        <f>B27</f>
        <v>0.5</v>
      </c>
      <c r="F24" s="65"/>
      <c r="G24" s="63" t="s">
        <v>119</v>
      </c>
      <c r="H24" s="66">
        <f>B28</f>
        <v>0.5</v>
      </c>
      <c r="I24" s="65"/>
      <c r="J24" s="63" t="s">
        <v>119</v>
      </c>
      <c r="K24" s="66">
        <f>B28</f>
        <v>0.5</v>
      </c>
      <c r="L24" s="65"/>
      <c r="M24" s="63" t="s">
        <v>119</v>
      </c>
      <c r="N24" s="66">
        <f>B28</f>
        <v>0.5</v>
      </c>
      <c r="O24" s="65"/>
    </row>
    <row r="25" spans="1:15" x14ac:dyDescent="0.2">
      <c r="A25" s="28" t="s">
        <v>3</v>
      </c>
      <c r="B25" s="55">
        <v>1</v>
      </c>
      <c r="C25" s="37"/>
      <c r="D25" s="63" t="s">
        <v>119</v>
      </c>
      <c r="E25" s="66">
        <f>B28</f>
        <v>0.5</v>
      </c>
      <c r="F25" s="65"/>
      <c r="G25" s="63" t="s">
        <v>122</v>
      </c>
      <c r="H25" s="66">
        <f>B58</f>
        <v>8</v>
      </c>
      <c r="I25" s="65" t="s">
        <v>203</v>
      </c>
      <c r="J25" s="63" t="s">
        <v>132</v>
      </c>
      <c r="K25" s="66">
        <f>B67</f>
        <v>8</v>
      </c>
      <c r="L25" s="65" t="s">
        <v>203</v>
      </c>
      <c r="M25" s="63" t="s">
        <v>14</v>
      </c>
      <c r="N25" s="66">
        <f>B76</f>
        <v>8</v>
      </c>
      <c r="O25" s="65" t="s">
        <v>203</v>
      </c>
    </row>
    <row r="26" spans="1:15" x14ac:dyDescent="0.2">
      <c r="A26" s="28" t="s">
        <v>27</v>
      </c>
      <c r="B26" s="55">
        <v>1</v>
      </c>
      <c r="C26" s="37"/>
      <c r="D26" s="67" t="s">
        <v>159</v>
      </c>
      <c r="E26" s="66">
        <f>B40</f>
        <v>4</v>
      </c>
      <c r="F26" s="65" t="s">
        <v>203</v>
      </c>
      <c r="G26" s="63" t="s">
        <v>136</v>
      </c>
      <c r="H26" s="66">
        <f>B62</f>
        <v>49</v>
      </c>
      <c r="I26" s="65" t="s">
        <v>24</v>
      </c>
      <c r="J26" s="63" t="s">
        <v>130</v>
      </c>
      <c r="K26" s="66">
        <f>B71</f>
        <v>49</v>
      </c>
      <c r="L26" s="65" t="s">
        <v>24</v>
      </c>
      <c r="M26" s="63" t="s">
        <v>17</v>
      </c>
      <c r="N26" s="66">
        <f>B80</f>
        <v>49</v>
      </c>
      <c r="O26" s="65" t="s">
        <v>24</v>
      </c>
    </row>
    <row r="27" spans="1:15" x14ac:dyDescent="0.2">
      <c r="A27" s="28" t="s">
        <v>162</v>
      </c>
      <c r="B27" s="55">
        <v>0.5</v>
      </c>
      <c r="C27" s="37"/>
      <c r="D27" s="67" t="s">
        <v>158</v>
      </c>
      <c r="E27" s="66">
        <f>B39</f>
        <v>4</v>
      </c>
      <c r="F27" s="65" t="s">
        <v>203</v>
      </c>
      <c r="G27" s="68" t="s">
        <v>137</v>
      </c>
      <c r="H27" s="69">
        <f>B64</f>
        <v>2</v>
      </c>
      <c r="I27" s="70" t="s">
        <v>204</v>
      </c>
      <c r="J27" s="68" t="s">
        <v>131</v>
      </c>
      <c r="K27" s="69">
        <f>B73</f>
        <v>2</v>
      </c>
      <c r="L27" s="70" t="s">
        <v>204</v>
      </c>
      <c r="M27" s="68" t="s">
        <v>18</v>
      </c>
      <c r="N27" s="69">
        <f>B82</f>
        <v>3</v>
      </c>
      <c r="O27" s="70" t="s">
        <v>204</v>
      </c>
    </row>
    <row r="28" spans="1:15" x14ac:dyDescent="0.2">
      <c r="A28" s="28" t="s">
        <v>119</v>
      </c>
      <c r="B28" s="55">
        <v>0.5</v>
      </c>
      <c r="C28" s="40"/>
      <c r="D28" s="67" t="s">
        <v>157</v>
      </c>
      <c r="E28" s="66">
        <f>B37</f>
        <v>350</v>
      </c>
      <c r="F28" s="65" t="s">
        <v>202</v>
      </c>
      <c r="G28" s="63" t="s">
        <v>133</v>
      </c>
      <c r="H28" s="66">
        <f>B57</f>
        <v>250</v>
      </c>
      <c r="I28" s="74" t="s">
        <v>202</v>
      </c>
      <c r="J28" s="74" t="s">
        <v>128</v>
      </c>
      <c r="K28" s="66">
        <f>B66</f>
        <v>225</v>
      </c>
      <c r="L28" s="74" t="s">
        <v>202</v>
      </c>
      <c r="M28" s="74" t="s">
        <v>13</v>
      </c>
      <c r="N28" s="66">
        <f>B75</f>
        <v>250</v>
      </c>
      <c r="O28" s="74" t="s">
        <v>202</v>
      </c>
    </row>
    <row r="29" spans="1:15" x14ac:dyDescent="0.2">
      <c r="A29" s="28" t="s">
        <v>29</v>
      </c>
      <c r="B29" s="55">
        <v>0.4</v>
      </c>
      <c r="C29" s="28"/>
      <c r="D29" s="67" t="s">
        <v>156</v>
      </c>
      <c r="E29" s="66">
        <f>B36</f>
        <v>350</v>
      </c>
      <c r="F29" s="65" t="s">
        <v>202</v>
      </c>
      <c r="G29" s="63" t="s">
        <v>134</v>
      </c>
      <c r="H29" s="66">
        <f>B63</f>
        <v>2.5</v>
      </c>
      <c r="I29" s="74" t="s">
        <v>26</v>
      </c>
      <c r="J29" s="74" t="s">
        <v>127</v>
      </c>
      <c r="K29" s="66">
        <v>2.5</v>
      </c>
      <c r="L29" s="74" t="s">
        <v>26</v>
      </c>
      <c r="M29" s="74" t="s">
        <v>12</v>
      </c>
      <c r="N29" s="66">
        <f>B81</f>
        <v>2.5</v>
      </c>
      <c r="O29" s="74" t="s">
        <v>26</v>
      </c>
    </row>
    <row r="30" spans="1:15" x14ac:dyDescent="0.2">
      <c r="A30" s="54" t="s">
        <v>99</v>
      </c>
      <c r="B30" s="55">
        <v>1</v>
      </c>
      <c r="C30" s="28"/>
      <c r="D30" s="63" t="s">
        <v>163</v>
      </c>
      <c r="E30" s="66">
        <f>B54</f>
        <v>0.77</v>
      </c>
      <c r="F30" s="65"/>
      <c r="G30" s="28" t="s">
        <v>135</v>
      </c>
      <c r="H30" s="32">
        <f>B61</f>
        <v>1</v>
      </c>
      <c r="I30" s="28" t="s">
        <v>205</v>
      </c>
      <c r="J30" s="28" t="s">
        <v>129</v>
      </c>
      <c r="K30" s="32">
        <f>B70</f>
        <v>1</v>
      </c>
      <c r="L30" s="28" t="s">
        <v>205</v>
      </c>
      <c r="M30" s="28" t="s">
        <v>15</v>
      </c>
      <c r="N30" s="32">
        <f>B79</f>
        <v>1</v>
      </c>
      <c r="O30" s="28" t="s">
        <v>205</v>
      </c>
    </row>
    <row r="31" spans="1:15" x14ac:dyDescent="0.2">
      <c r="A31" s="54" t="s">
        <v>16</v>
      </c>
      <c r="B31" s="55">
        <v>0.4</v>
      </c>
      <c r="C31" s="28"/>
      <c r="D31" s="63" t="s">
        <v>164</v>
      </c>
      <c r="E31" s="66">
        <f>B55</f>
        <v>0.23</v>
      </c>
      <c r="F31" s="65"/>
      <c r="G31" s="28" t="s">
        <v>3</v>
      </c>
      <c r="H31" s="32">
        <f>B25</f>
        <v>1</v>
      </c>
      <c r="J31" s="28" t="s">
        <v>3</v>
      </c>
      <c r="K31" s="32">
        <f>B25</f>
        <v>1</v>
      </c>
      <c r="M31" s="28" t="s">
        <v>3</v>
      </c>
      <c r="N31" s="32">
        <f>B25</f>
        <v>1</v>
      </c>
    </row>
    <row r="32" spans="1:15" x14ac:dyDescent="0.2">
      <c r="A32" s="54" t="s">
        <v>31</v>
      </c>
      <c r="B32" s="52">
        <v>666666666</v>
      </c>
      <c r="C32" s="54" t="s">
        <v>32</v>
      </c>
      <c r="D32" s="63" t="s">
        <v>147</v>
      </c>
      <c r="E32" s="66">
        <f>B52</f>
        <v>49</v>
      </c>
      <c r="F32" s="65" t="s">
        <v>24</v>
      </c>
      <c r="G32" s="28" t="s">
        <v>27</v>
      </c>
      <c r="H32" s="32">
        <f>B26</f>
        <v>1</v>
      </c>
      <c r="J32" s="28" t="s">
        <v>27</v>
      </c>
      <c r="K32" s="32">
        <f>B26</f>
        <v>1</v>
      </c>
      <c r="M32" s="28" t="s">
        <v>27</v>
      </c>
      <c r="N32" s="32">
        <f>B26</f>
        <v>1</v>
      </c>
    </row>
    <row r="33" spans="1:15" x14ac:dyDescent="0.2">
      <c r="A33" s="38" t="s">
        <v>65</v>
      </c>
      <c r="B33" s="42">
        <v>0.38</v>
      </c>
      <c r="D33" s="63" t="s">
        <v>146</v>
      </c>
      <c r="E33" s="66">
        <f>B53</f>
        <v>16</v>
      </c>
      <c r="F33" s="65" t="s">
        <v>24</v>
      </c>
      <c r="G33" s="28" t="s">
        <v>29</v>
      </c>
      <c r="H33" s="32">
        <f>B29</f>
        <v>0.4</v>
      </c>
      <c r="J33" s="28" t="s">
        <v>29</v>
      </c>
      <c r="K33" s="32">
        <f>B29</f>
        <v>0.4</v>
      </c>
      <c r="M33" s="28" t="s">
        <v>29</v>
      </c>
      <c r="N33" s="32">
        <f>B29</f>
        <v>0.4</v>
      </c>
    </row>
    <row r="34" spans="1:15" ht="15" x14ac:dyDescent="0.2">
      <c r="A34" s="367" t="s">
        <v>7</v>
      </c>
      <c r="B34" s="367"/>
      <c r="C34" s="368"/>
      <c r="D34" s="67" t="s">
        <v>151</v>
      </c>
      <c r="E34" s="66">
        <f>B48</f>
        <v>2</v>
      </c>
      <c r="F34" s="65" t="s">
        <v>204</v>
      </c>
      <c r="G34" s="54" t="s">
        <v>99</v>
      </c>
      <c r="H34" s="32">
        <f>B30</f>
        <v>1</v>
      </c>
      <c r="J34" s="54" t="s">
        <v>99</v>
      </c>
      <c r="K34" s="32">
        <f>B30</f>
        <v>1</v>
      </c>
      <c r="M34" s="54" t="s">
        <v>99</v>
      </c>
      <c r="N34" s="32">
        <f>B30</f>
        <v>1</v>
      </c>
    </row>
    <row r="35" spans="1:15" x14ac:dyDescent="0.2">
      <c r="A35" s="40" t="s">
        <v>155</v>
      </c>
      <c r="B35" s="166">
        <v>350</v>
      </c>
      <c r="C35" s="40" t="s">
        <v>202</v>
      </c>
      <c r="D35" s="67" t="s">
        <v>150</v>
      </c>
      <c r="E35" s="66">
        <f>B49</f>
        <v>10</v>
      </c>
      <c r="F35" s="65" t="s">
        <v>204</v>
      </c>
      <c r="G35" s="54" t="s">
        <v>16</v>
      </c>
      <c r="H35" s="32">
        <f>B31</f>
        <v>0.4</v>
      </c>
      <c r="J35" s="54" t="s">
        <v>16</v>
      </c>
      <c r="K35" s="32">
        <f>B31</f>
        <v>0.4</v>
      </c>
      <c r="M35" s="54" t="s">
        <v>16</v>
      </c>
      <c r="N35" s="32">
        <f>B31</f>
        <v>0.4</v>
      </c>
    </row>
    <row r="36" spans="1:15" x14ac:dyDescent="0.2">
      <c r="A36" s="40" t="s">
        <v>156</v>
      </c>
      <c r="B36" s="166">
        <v>350</v>
      </c>
      <c r="C36" s="40" t="s">
        <v>202</v>
      </c>
      <c r="D36" s="63" t="s">
        <v>149</v>
      </c>
      <c r="E36" s="66">
        <f>B47</f>
        <v>20</v>
      </c>
      <c r="F36" s="65" t="s">
        <v>26</v>
      </c>
      <c r="G36" s="28" t="s">
        <v>30</v>
      </c>
      <c r="H36" s="43">
        <f>B17</f>
        <v>0.74157303370786498</v>
      </c>
      <c r="J36" s="28" t="s">
        <v>30</v>
      </c>
      <c r="K36" s="43">
        <f>B17</f>
        <v>0.74157303370786498</v>
      </c>
      <c r="L36" s="332"/>
      <c r="M36" s="332" t="s">
        <v>30</v>
      </c>
      <c r="N36" s="43">
        <f>B17</f>
        <v>0.74157303370786498</v>
      </c>
    </row>
    <row r="37" spans="1:15" x14ac:dyDescent="0.2">
      <c r="A37" s="40" t="s">
        <v>157</v>
      </c>
      <c r="B37" s="166">
        <v>350</v>
      </c>
      <c r="C37" s="40" t="s">
        <v>202</v>
      </c>
      <c r="D37" s="68" t="s">
        <v>148</v>
      </c>
      <c r="E37" s="69">
        <f>B46</f>
        <v>10</v>
      </c>
      <c r="F37" s="70" t="s">
        <v>26</v>
      </c>
      <c r="G37" s="54" t="s">
        <v>31</v>
      </c>
      <c r="H37" s="53">
        <f>B32</f>
        <v>666666666</v>
      </c>
      <c r="I37" s="54" t="s">
        <v>32</v>
      </c>
      <c r="J37" s="54" t="s">
        <v>31</v>
      </c>
      <c r="K37" s="53">
        <f>B32</f>
        <v>666666666</v>
      </c>
      <c r="L37" s="54" t="s">
        <v>32</v>
      </c>
      <c r="M37" s="54" t="s">
        <v>31</v>
      </c>
      <c r="N37" s="53">
        <f>B32</f>
        <v>666666666</v>
      </c>
      <c r="O37" s="54" t="s">
        <v>32</v>
      </c>
    </row>
    <row r="38" spans="1:15" x14ac:dyDescent="0.2">
      <c r="A38" s="40" t="s">
        <v>154</v>
      </c>
      <c r="B38" s="42">
        <v>24</v>
      </c>
      <c r="C38" s="40" t="s">
        <v>203</v>
      </c>
      <c r="D38" s="28" t="s">
        <v>125</v>
      </c>
      <c r="E38" s="32">
        <f>B43</f>
        <v>1</v>
      </c>
      <c r="F38" s="28" t="s">
        <v>205</v>
      </c>
      <c r="G38" s="44" t="s">
        <v>98</v>
      </c>
      <c r="H38" s="43">
        <f>PEF!K2</f>
        <v>46142917.395111896</v>
      </c>
      <c r="I38" s="28" t="s">
        <v>34</v>
      </c>
      <c r="J38" s="44" t="s">
        <v>98</v>
      </c>
      <c r="K38" s="43">
        <f>PEF!K2</f>
        <v>46142917.395111896</v>
      </c>
      <c r="L38" s="28" t="s">
        <v>34</v>
      </c>
      <c r="M38" s="44" t="s">
        <v>98</v>
      </c>
      <c r="N38" s="43">
        <f>PEF!K2</f>
        <v>46142917.395111896</v>
      </c>
      <c r="O38" s="28" t="s">
        <v>34</v>
      </c>
    </row>
    <row r="39" spans="1:15" x14ac:dyDescent="0.2">
      <c r="A39" s="40" t="s">
        <v>158</v>
      </c>
      <c r="B39" s="42">
        <v>4</v>
      </c>
      <c r="C39" s="40" t="s">
        <v>203</v>
      </c>
      <c r="D39" s="28" t="s">
        <v>3</v>
      </c>
      <c r="E39" s="32">
        <f>B25</f>
        <v>1</v>
      </c>
      <c r="G39" s="28" t="s">
        <v>33</v>
      </c>
      <c r="H39" s="43">
        <f>PEF!C2</f>
        <v>1365593623.3683286</v>
      </c>
      <c r="I39" s="28" t="s">
        <v>34</v>
      </c>
      <c r="J39" s="28" t="s">
        <v>33</v>
      </c>
      <c r="K39" s="43">
        <f>PEF!C2</f>
        <v>1365593623.3683286</v>
      </c>
      <c r="L39" s="28" t="s">
        <v>34</v>
      </c>
      <c r="M39" s="28" t="s">
        <v>33</v>
      </c>
      <c r="N39" s="43">
        <f>PEF!C2</f>
        <v>1365593623.3683286</v>
      </c>
      <c r="O39" s="28" t="s">
        <v>34</v>
      </c>
    </row>
    <row r="40" spans="1:15" x14ac:dyDescent="0.2">
      <c r="A40" s="40" t="s">
        <v>159</v>
      </c>
      <c r="B40" s="42">
        <v>4</v>
      </c>
      <c r="C40" s="40" t="s">
        <v>203</v>
      </c>
      <c r="D40" s="28" t="s">
        <v>27</v>
      </c>
      <c r="E40" s="32">
        <f>B26</f>
        <v>1</v>
      </c>
      <c r="G40" s="28" t="s">
        <v>102</v>
      </c>
      <c r="H40" s="330">
        <f>B22</f>
        <v>137</v>
      </c>
      <c r="I40" s="28" t="s">
        <v>103</v>
      </c>
      <c r="J40" s="28" t="s">
        <v>102</v>
      </c>
      <c r="K40" s="330">
        <f>B22</f>
        <v>137</v>
      </c>
      <c r="L40" s="28" t="s">
        <v>103</v>
      </c>
      <c r="M40" s="28" t="s">
        <v>102</v>
      </c>
      <c r="N40" s="330">
        <f>B22</f>
        <v>137</v>
      </c>
      <c r="O40" s="28" t="s">
        <v>103</v>
      </c>
    </row>
    <row r="41" spans="1:15" x14ac:dyDescent="0.2">
      <c r="A41" s="40" t="s">
        <v>152</v>
      </c>
      <c r="B41" s="42">
        <v>24</v>
      </c>
      <c r="C41" s="40" t="s">
        <v>203</v>
      </c>
      <c r="D41" s="28" t="s">
        <v>160</v>
      </c>
      <c r="E41" s="32">
        <f>B50</f>
        <v>1.752</v>
      </c>
      <c r="F41" s="28" t="s">
        <v>203</v>
      </c>
      <c r="G41" s="28" t="s">
        <v>100</v>
      </c>
      <c r="H41" s="207">
        <v>27.027027027027</v>
      </c>
      <c r="I41" s="208" t="s">
        <v>101</v>
      </c>
      <c r="J41" s="208" t="s">
        <v>100</v>
      </c>
      <c r="K41" s="207">
        <v>27.027027027027</v>
      </c>
      <c r="L41" s="208" t="s">
        <v>101</v>
      </c>
      <c r="M41" s="208" t="s">
        <v>100</v>
      </c>
      <c r="N41" s="207">
        <v>27.027027027027</v>
      </c>
      <c r="O41" s="28" t="s">
        <v>101</v>
      </c>
    </row>
    <row r="42" spans="1:15" x14ac:dyDescent="0.2">
      <c r="A42" s="40" t="s">
        <v>153</v>
      </c>
      <c r="B42" s="42">
        <v>24</v>
      </c>
      <c r="C42" s="40" t="s">
        <v>203</v>
      </c>
      <c r="D42" s="28" t="s">
        <v>161</v>
      </c>
      <c r="E42" s="32">
        <f>B51</f>
        <v>16.399999999999999</v>
      </c>
      <c r="F42" s="28" t="s">
        <v>203</v>
      </c>
      <c r="G42" s="28" t="s">
        <v>104</v>
      </c>
      <c r="H42" s="32">
        <f>2.8*(10^(-15))</f>
        <v>2.8000000000000001E-15</v>
      </c>
      <c r="J42" s="28" t="s">
        <v>104</v>
      </c>
      <c r="K42" s="32">
        <f>2.8*(10^(-15))</f>
        <v>2.8000000000000001E-15</v>
      </c>
      <c r="M42" s="28" t="s">
        <v>104</v>
      </c>
      <c r="N42" s="32">
        <f>2.8*(10^(-15))</f>
        <v>2.8000000000000001E-15</v>
      </c>
    </row>
    <row r="43" spans="1:15" x14ac:dyDescent="0.2">
      <c r="A43" s="40" t="s">
        <v>125</v>
      </c>
      <c r="B43" s="42">
        <v>1</v>
      </c>
      <c r="C43" s="40" t="s">
        <v>10</v>
      </c>
      <c r="D43" s="28" t="s">
        <v>29</v>
      </c>
      <c r="E43" s="32">
        <f>B29</f>
        <v>0.4</v>
      </c>
    </row>
    <row r="44" spans="1:15" x14ac:dyDescent="0.2">
      <c r="A44" s="40" t="s">
        <v>146</v>
      </c>
      <c r="B44" s="42">
        <v>16</v>
      </c>
      <c r="C44" s="40" t="s">
        <v>120</v>
      </c>
      <c r="D44" s="54" t="s">
        <v>99</v>
      </c>
      <c r="E44" s="32">
        <f>B30</f>
        <v>1</v>
      </c>
    </row>
    <row r="45" spans="1:15" x14ac:dyDescent="0.2">
      <c r="A45" s="40" t="s">
        <v>147</v>
      </c>
      <c r="B45" s="42">
        <v>49</v>
      </c>
      <c r="C45" s="40" t="s">
        <v>120</v>
      </c>
      <c r="D45" s="54" t="s">
        <v>16</v>
      </c>
      <c r="E45" s="32">
        <f>B31</f>
        <v>0.4</v>
      </c>
    </row>
    <row r="46" spans="1:15" x14ac:dyDescent="0.2">
      <c r="A46" s="40" t="s">
        <v>148</v>
      </c>
      <c r="B46" s="42">
        <v>10</v>
      </c>
      <c r="C46" s="40" t="s">
        <v>121</v>
      </c>
      <c r="D46" s="28" t="s">
        <v>30</v>
      </c>
      <c r="E46" s="43">
        <f>B17</f>
        <v>0.74157303370786498</v>
      </c>
    </row>
    <row r="47" spans="1:15" x14ac:dyDescent="0.2">
      <c r="A47" s="40" t="s">
        <v>149</v>
      </c>
      <c r="B47" s="42">
        <v>20</v>
      </c>
      <c r="C47" s="40" t="s">
        <v>121</v>
      </c>
      <c r="D47" s="54" t="s">
        <v>31</v>
      </c>
      <c r="E47" s="53">
        <f>B32</f>
        <v>666666666</v>
      </c>
      <c r="F47" s="54" t="s">
        <v>32</v>
      </c>
    </row>
    <row r="48" spans="1:15" x14ac:dyDescent="0.2">
      <c r="A48" s="40" t="s">
        <v>151</v>
      </c>
      <c r="B48" s="55">
        <v>2</v>
      </c>
      <c r="C48" s="28" t="s">
        <v>204</v>
      </c>
      <c r="D48" s="44" t="s">
        <v>98</v>
      </c>
      <c r="E48" s="43">
        <f>PEF!I2</f>
        <v>46142766.007587641</v>
      </c>
      <c r="F48" s="28" t="s">
        <v>34</v>
      </c>
    </row>
    <row r="49" spans="1:6" x14ac:dyDescent="0.2">
      <c r="A49" s="40" t="s">
        <v>150</v>
      </c>
      <c r="B49" s="55">
        <v>10</v>
      </c>
      <c r="C49" s="28" t="s">
        <v>204</v>
      </c>
      <c r="D49" s="28" t="s">
        <v>33</v>
      </c>
      <c r="E49" s="43">
        <f>PEF!C2</f>
        <v>1365593623.3683286</v>
      </c>
      <c r="F49" s="28" t="s">
        <v>34</v>
      </c>
    </row>
    <row r="50" spans="1:6" x14ac:dyDescent="0.2">
      <c r="A50" s="28" t="s">
        <v>160</v>
      </c>
      <c r="B50" s="55">
        <v>1.752</v>
      </c>
      <c r="C50" s="28" t="s">
        <v>203</v>
      </c>
      <c r="D50" s="28" t="s">
        <v>102</v>
      </c>
      <c r="E50" s="330">
        <f>B22</f>
        <v>137</v>
      </c>
      <c r="F50" s="28" t="s">
        <v>103</v>
      </c>
    </row>
    <row r="51" spans="1:6" x14ac:dyDescent="0.2">
      <c r="A51" s="28" t="s">
        <v>161</v>
      </c>
      <c r="B51" s="55">
        <v>16.399999999999999</v>
      </c>
      <c r="C51" s="28" t="s">
        <v>203</v>
      </c>
      <c r="D51" s="28" t="s">
        <v>100</v>
      </c>
      <c r="E51" s="207">
        <v>27.027027027027</v>
      </c>
      <c r="F51" s="28" t="s">
        <v>101</v>
      </c>
    </row>
    <row r="52" spans="1:6" x14ac:dyDescent="0.2">
      <c r="A52" s="28" t="s">
        <v>147</v>
      </c>
      <c r="B52" s="55">
        <v>49</v>
      </c>
      <c r="C52" s="28" t="s">
        <v>24</v>
      </c>
      <c r="D52" s="28" t="s">
        <v>104</v>
      </c>
      <c r="E52" s="32">
        <f>2.8*(10^(-15))</f>
        <v>2.8000000000000001E-15</v>
      </c>
    </row>
    <row r="53" spans="1:6" x14ac:dyDescent="0.2">
      <c r="A53" s="28" t="s">
        <v>146</v>
      </c>
      <c r="B53" s="55">
        <v>16</v>
      </c>
      <c r="C53" s="28" t="s">
        <v>24</v>
      </c>
    </row>
    <row r="54" spans="1:6" x14ac:dyDescent="0.2">
      <c r="A54" s="28" t="s">
        <v>163</v>
      </c>
      <c r="B54" s="55">
        <v>0.77</v>
      </c>
      <c r="C54" s="28"/>
      <c r="F54" s="31" t="s">
        <v>194</v>
      </c>
    </row>
    <row r="55" spans="1:6" x14ac:dyDescent="0.2">
      <c r="A55" s="28" t="s">
        <v>164</v>
      </c>
      <c r="B55" s="55">
        <v>0.23</v>
      </c>
      <c r="C55" s="28"/>
      <c r="F55" s="31" t="s">
        <v>95</v>
      </c>
    </row>
    <row r="56" spans="1:6" ht="15" x14ac:dyDescent="0.2">
      <c r="A56" s="369" t="s">
        <v>180</v>
      </c>
      <c r="B56" s="369"/>
      <c r="C56" s="369"/>
      <c r="F56" s="31" t="s">
        <v>96</v>
      </c>
    </row>
    <row r="57" spans="1:6" x14ac:dyDescent="0.2">
      <c r="A57" s="40" t="s">
        <v>133</v>
      </c>
      <c r="B57" s="166">
        <v>250</v>
      </c>
      <c r="C57" s="40" t="s">
        <v>202</v>
      </c>
      <c r="F57" s="31" t="s">
        <v>97</v>
      </c>
    </row>
    <row r="58" spans="1:6" x14ac:dyDescent="0.2">
      <c r="A58" s="40" t="s">
        <v>122</v>
      </c>
      <c r="B58" s="42">
        <v>8</v>
      </c>
      <c r="C58" s="40" t="s">
        <v>203</v>
      </c>
    </row>
    <row r="59" spans="1:6" x14ac:dyDescent="0.2">
      <c r="A59" s="40" t="s">
        <v>185</v>
      </c>
      <c r="B59" s="42">
        <v>4</v>
      </c>
      <c r="C59" s="40" t="s">
        <v>203</v>
      </c>
    </row>
    <row r="60" spans="1:6" x14ac:dyDescent="0.2">
      <c r="A60" s="40" t="s">
        <v>186</v>
      </c>
      <c r="B60" s="42">
        <v>4</v>
      </c>
      <c r="C60" s="40" t="s">
        <v>203</v>
      </c>
    </row>
    <row r="61" spans="1:6" x14ac:dyDescent="0.2">
      <c r="A61" s="40" t="s">
        <v>135</v>
      </c>
      <c r="B61" s="42">
        <v>1</v>
      </c>
      <c r="C61" s="40" t="s">
        <v>10</v>
      </c>
    </row>
    <row r="62" spans="1:6" x14ac:dyDescent="0.2">
      <c r="A62" s="40" t="s">
        <v>136</v>
      </c>
      <c r="B62" s="42">
        <v>49</v>
      </c>
      <c r="C62" s="40" t="s">
        <v>120</v>
      </c>
    </row>
    <row r="63" spans="1:6" x14ac:dyDescent="0.2">
      <c r="A63" s="40" t="s">
        <v>134</v>
      </c>
      <c r="B63" s="42">
        <v>2.5</v>
      </c>
      <c r="C63" s="40" t="s">
        <v>121</v>
      </c>
    </row>
    <row r="64" spans="1:6" x14ac:dyDescent="0.2">
      <c r="A64" s="40" t="s">
        <v>137</v>
      </c>
      <c r="B64" s="42">
        <v>2</v>
      </c>
      <c r="C64" s="40" t="s">
        <v>204</v>
      </c>
    </row>
    <row r="65" spans="1:3" ht="15" x14ac:dyDescent="0.2">
      <c r="A65" s="370" t="s">
        <v>181</v>
      </c>
      <c r="B65" s="370"/>
      <c r="C65" s="370"/>
    </row>
    <row r="66" spans="1:3" x14ac:dyDescent="0.2">
      <c r="A66" s="40" t="s">
        <v>128</v>
      </c>
      <c r="B66" s="166">
        <v>225</v>
      </c>
      <c r="C66" s="40" t="s">
        <v>202</v>
      </c>
    </row>
    <row r="67" spans="1:3" x14ac:dyDescent="0.2">
      <c r="A67" s="40" t="s">
        <v>122</v>
      </c>
      <c r="B67" s="42">
        <v>8</v>
      </c>
      <c r="C67" s="40" t="s">
        <v>203</v>
      </c>
    </row>
    <row r="68" spans="1:3" x14ac:dyDescent="0.2">
      <c r="A68" s="40" t="s">
        <v>183</v>
      </c>
      <c r="B68" s="42">
        <v>4</v>
      </c>
      <c r="C68" s="40" t="s">
        <v>203</v>
      </c>
    </row>
    <row r="69" spans="1:3" x14ac:dyDescent="0.2">
      <c r="A69" s="40" t="s">
        <v>184</v>
      </c>
      <c r="B69" s="42">
        <v>4</v>
      </c>
      <c r="C69" s="40" t="s">
        <v>203</v>
      </c>
    </row>
    <row r="70" spans="1:3" x14ac:dyDescent="0.2">
      <c r="A70" s="40" t="s">
        <v>129</v>
      </c>
      <c r="B70" s="42">
        <v>1</v>
      </c>
      <c r="C70" s="40" t="s">
        <v>10</v>
      </c>
    </row>
    <row r="71" spans="1:3" x14ac:dyDescent="0.2">
      <c r="A71" s="40" t="s">
        <v>130</v>
      </c>
      <c r="B71" s="42">
        <v>49</v>
      </c>
      <c r="C71" s="40" t="s">
        <v>120</v>
      </c>
    </row>
    <row r="72" spans="1:3" x14ac:dyDescent="0.2">
      <c r="A72" s="40" t="s">
        <v>127</v>
      </c>
      <c r="B72" s="42">
        <v>2.5</v>
      </c>
      <c r="C72" s="40" t="s">
        <v>121</v>
      </c>
    </row>
    <row r="73" spans="1:3" x14ac:dyDescent="0.2">
      <c r="A73" s="40" t="s">
        <v>131</v>
      </c>
      <c r="B73" s="42">
        <v>2</v>
      </c>
      <c r="C73" s="40" t="s">
        <v>204</v>
      </c>
    </row>
    <row r="74" spans="1:3" ht="15" x14ac:dyDescent="0.2">
      <c r="A74" s="371" t="s">
        <v>182</v>
      </c>
      <c r="B74" s="371"/>
      <c r="C74" s="371"/>
    </row>
    <row r="75" spans="1:3" x14ac:dyDescent="0.2">
      <c r="A75" s="40" t="s">
        <v>13</v>
      </c>
      <c r="B75" s="166">
        <v>250</v>
      </c>
      <c r="C75" s="40" t="s">
        <v>202</v>
      </c>
    </row>
    <row r="76" spans="1:3" x14ac:dyDescent="0.2">
      <c r="A76" s="40" t="s">
        <v>122</v>
      </c>
      <c r="B76" s="42">
        <v>8</v>
      </c>
      <c r="C76" s="40" t="s">
        <v>203</v>
      </c>
    </row>
    <row r="77" spans="1:3" x14ac:dyDescent="0.2">
      <c r="A77" s="40" t="s">
        <v>123</v>
      </c>
      <c r="B77" s="42">
        <v>4</v>
      </c>
      <c r="C77" s="40" t="s">
        <v>203</v>
      </c>
    </row>
    <row r="78" spans="1:3" x14ac:dyDescent="0.2">
      <c r="A78" s="40" t="s">
        <v>124</v>
      </c>
      <c r="B78" s="42">
        <v>4</v>
      </c>
      <c r="C78" s="40" t="s">
        <v>203</v>
      </c>
    </row>
    <row r="79" spans="1:3" x14ac:dyDescent="0.2">
      <c r="A79" s="40" t="s">
        <v>15</v>
      </c>
      <c r="B79" s="42">
        <v>1</v>
      </c>
      <c r="C79" s="40" t="s">
        <v>10</v>
      </c>
    </row>
    <row r="80" spans="1:3" x14ac:dyDescent="0.2">
      <c r="A80" s="40" t="s">
        <v>17</v>
      </c>
      <c r="B80" s="42">
        <v>49</v>
      </c>
      <c r="C80" s="40" t="s">
        <v>120</v>
      </c>
    </row>
    <row r="81" spans="1:3" x14ac:dyDescent="0.2">
      <c r="A81" s="40" t="s">
        <v>12</v>
      </c>
      <c r="B81" s="42">
        <v>2.5</v>
      </c>
      <c r="C81" s="40" t="s">
        <v>121</v>
      </c>
    </row>
    <row r="82" spans="1:3" x14ac:dyDescent="0.2">
      <c r="A82" s="40" t="s">
        <v>18</v>
      </c>
      <c r="B82" s="42">
        <v>3</v>
      </c>
      <c r="C82" s="40" t="s">
        <v>204</v>
      </c>
    </row>
    <row r="105" spans="1:1" x14ac:dyDescent="0.2">
      <c r="A105" s="28"/>
    </row>
    <row r="106" spans="1:1" x14ac:dyDescent="0.2">
      <c r="A106" s="28"/>
    </row>
  </sheetData>
  <mergeCells count="10">
    <mergeCell ref="A65:C65"/>
    <mergeCell ref="A74:C74"/>
    <mergeCell ref="D1:F1"/>
    <mergeCell ref="G1:I1"/>
    <mergeCell ref="J1:L1"/>
    <mergeCell ref="M1:O1"/>
    <mergeCell ref="A1:C1"/>
    <mergeCell ref="A2:C5"/>
    <mergeCell ref="A34:C34"/>
    <mergeCell ref="A56:C56"/>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06"/>
  <sheetViews>
    <sheetView zoomScale="80" zoomScaleNormal="80" workbookViewId="0">
      <pane xSplit="3" ySplit="1" topLeftCell="D2" activePane="bottomRight" state="frozen"/>
      <selection pane="topRight" activeCell="D1" sqref="D1"/>
      <selection pane="bottomLeft" activeCell="A2" sqref="A2"/>
      <selection pane="bottomRight" activeCell="J45" sqref="J45"/>
    </sheetView>
  </sheetViews>
  <sheetFormatPr defaultColWidth="13.28515625" defaultRowHeight="12.75" x14ac:dyDescent="0.2"/>
  <cols>
    <col min="1" max="1" width="13.7109375" bestFit="1" customWidth="1"/>
    <col min="2" max="2" width="9.28515625" bestFit="1" customWidth="1"/>
    <col min="3" max="3" width="21" bestFit="1" customWidth="1"/>
    <col min="4" max="4" width="12.28515625" style="28" bestFit="1" customWidth="1"/>
    <col min="5" max="5" width="9.28515625" style="32" bestFit="1" customWidth="1"/>
    <col min="6" max="6" width="20.5703125" style="28" bestFit="1" customWidth="1"/>
    <col min="7" max="7" width="12.28515625" style="28" bestFit="1" customWidth="1"/>
    <col min="8" max="8" width="9.28515625" style="32" bestFit="1" customWidth="1"/>
    <col min="9" max="9" width="20.5703125" style="28" bestFit="1" customWidth="1"/>
    <col min="10" max="10" width="12.28515625" style="28" bestFit="1" customWidth="1"/>
    <col min="11" max="11" width="9.28515625" style="28" bestFit="1" customWidth="1"/>
    <col min="12" max="12" width="20.5703125" style="28" bestFit="1" customWidth="1"/>
    <col min="13" max="13" width="12.28515625" style="28" bestFit="1" customWidth="1"/>
    <col min="14" max="14" width="9.28515625" style="32" bestFit="1" customWidth="1"/>
    <col min="15" max="15" width="20.5703125" style="28" bestFit="1" customWidth="1"/>
  </cols>
  <sheetData>
    <row r="1" spans="1:15" ht="21.75" thickTop="1" thickBot="1" x14ac:dyDescent="0.3">
      <c r="A1" s="393" t="s">
        <v>19</v>
      </c>
      <c r="B1" s="394"/>
      <c r="C1" s="395"/>
      <c r="D1" s="361" t="s">
        <v>171</v>
      </c>
      <c r="E1" s="362"/>
      <c r="F1" s="363"/>
      <c r="G1" s="358" t="s">
        <v>172</v>
      </c>
      <c r="H1" s="359"/>
      <c r="I1" s="360"/>
      <c r="J1" s="355" t="s">
        <v>173</v>
      </c>
      <c r="K1" s="356"/>
      <c r="L1" s="357"/>
      <c r="M1" s="352" t="s">
        <v>174</v>
      </c>
      <c r="N1" s="353"/>
      <c r="O1" s="354"/>
    </row>
    <row r="2" spans="1:15" ht="13.5" customHeight="1" thickTop="1" x14ac:dyDescent="0.2">
      <c r="A2" s="384" t="s">
        <v>112</v>
      </c>
      <c r="B2" s="385"/>
      <c r="C2" s="386"/>
      <c r="D2" s="310" t="s">
        <v>175</v>
      </c>
      <c r="E2" s="311">
        <f>1/((1/E17)+(1/E18)+(1/E20))</f>
        <v>4.5507829133398963E-4</v>
      </c>
      <c r="F2" s="286" t="s">
        <v>176</v>
      </c>
      <c r="G2" s="312" t="s">
        <v>175</v>
      </c>
      <c r="H2" s="313">
        <f>1/((1/H17)+(1/H18)+(1/H20))</f>
        <v>4.2947525337701942E-4</v>
      </c>
      <c r="I2" s="302" t="s">
        <v>176</v>
      </c>
      <c r="J2" s="314" t="s">
        <v>175</v>
      </c>
      <c r="K2" s="315">
        <f>1/((1/K17)+(1/K18)+(1/K20))</f>
        <v>4.7719472597446605E-4</v>
      </c>
      <c r="L2" s="290" t="s">
        <v>176</v>
      </c>
      <c r="M2" s="316" t="s">
        <v>175</v>
      </c>
      <c r="N2" s="317">
        <f>1/((1/N17)+(1/N18)+(1/N20))</f>
        <v>4.2564810165638534E-4</v>
      </c>
      <c r="O2" s="282" t="s">
        <v>176</v>
      </c>
    </row>
    <row r="3" spans="1:15" ht="13.5" thickBot="1" x14ac:dyDescent="0.25">
      <c r="A3" s="387"/>
      <c r="B3" s="388"/>
      <c r="C3" s="389"/>
      <c r="D3" s="285" t="s">
        <v>177</v>
      </c>
      <c r="E3" s="297">
        <f>1/((1/E17)+(1/E19)+(1/E20))</f>
        <v>7.8318927405117353E-3</v>
      </c>
      <c r="F3" s="287" t="s">
        <v>176</v>
      </c>
      <c r="G3" s="300" t="s">
        <v>177</v>
      </c>
      <c r="H3" s="301">
        <f>1/((1/H17)+(1/H19)+(1/H20))</f>
        <v>8.3502313547854871E-3</v>
      </c>
      <c r="I3" s="303" t="s">
        <v>176</v>
      </c>
      <c r="J3" s="289" t="s">
        <v>177</v>
      </c>
      <c r="K3" s="293">
        <f>1/((1/K17)+(1/K19)+(1/K20))</f>
        <v>9.2780348386505423E-3</v>
      </c>
      <c r="L3" s="291" t="s">
        <v>176</v>
      </c>
      <c r="M3" s="281" t="s">
        <v>177</v>
      </c>
      <c r="N3" s="295">
        <f>1/((1/N17)+(1/N19)+(1/N20))</f>
        <v>7.1076827712926857E-3</v>
      </c>
      <c r="O3" s="283" t="s">
        <v>176</v>
      </c>
    </row>
    <row r="4" spans="1:15" x14ac:dyDescent="0.2">
      <c r="A4" s="387"/>
      <c r="B4" s="388"/>
      <c r="C4" s="389"/>
      <c r="D4" s="284" t="s">
        <v>175</v>
      </c>
      <c r="E4" s="296">
        <f>E2/E51</f>
        <v>1.6837896779357633E-5</v>
      </c>
      <c r="F4" s="286" t="s">
        <v>178</v>
      </c>
      <c r="G4" s="298" t="s">
        <v>175</v>
      </c>
      <c r="H4" s="299">
        <f>H2/H41</f>
        <v>1.5890584374949735E-5</v>
      </c>
      <c r="I4" s="302" t="s">
        <v>178</v>
      </c>
      <c r="J4" s="288" t="s">
        <v>175</v>
      </c>
      <c r="K4" s="292">
        <f>K2/K41</f>
        <v>1.7656204861055262E-5</v>
      </c>
      <c r="L4" s="290" t="s">
        <v>178</v>
      </c>
      <c r="M4" s="280" t="s">
        <v>175</v>
      </c>
      <c r="N4" s="294">
        <f>N2/N41</f>
        <v>1.5748979761286274E-5</v>
      </c>
      <c r="O4" s="282" t="s">
        <v>178</v>
      </c>
    </row>
    <row r="5" spans="1:15" ht="13.5" thickBot="1" x14ac:dyDescent="0.25">
      <c r="A5" s="390"/>
      <c r="B5" s="391"/>
      <c r="C5" s="392"/>
      <c r="D5" s="285" t="s">
        <v>177</v>
      </c>
      <c r="E5" s="297">
        <f>E3/E51</f>
        <v>2.8978003139893451E-4</v>
      </c>
      <c r="F5" s="287" t="s">
        <v>178</v>
      </c>
      <c r="G5" s="300" t="s">
        <v>177</v>
      </c>
      <c r="H5" s="301">
        <f>H3/H41</f>
        <v>3.0895856012706335E-4</v>
      </c>
      <c r="I5" s="303" t="s">
        <v>178</v>
      </c>
      <c r="J5" s="289" t="s">
        <v>177</v>
      </c>
      <c r="K5" s="293">
        <f>K3/K41</f>
        <v>3.4328728903007039E-4</v>
      </c>
      <c r="L5" s="291" t="s">
        <v>178</v>
      </c>
      <c r="M5" s="281" t="s">
        <v>177</v>
      </c>
      <c r="N5" s="295">
        <f>N3/N41</f>
        <v>2.6298426253782965E-4</v>
      </c>
      <c r="O5" s="283" t="s">
        <v>178</v>
      </c>
    </row>
    <row r="6" spans="1:15" ht="13.5" thickTop="1" x14ac:dyDescent="0.2">
      <c r="A6" s="28" t="s">
        <v>21</v>
      </c>
      <c r="B6" s="190">
        <v>1</v>
      </c>
      <c r="C6" s="28" t="s">
        <v>138</v>
      </c>
      <c r="D6" s="284" t="s">
        <v>175</v>
      </c>
      <c r="E6" s="296">
        <f>E2*E13*E50*E52</f>
        <v>4.6080947102752209E-13</v>
      </c>
      <c r="F6" s="286" t="s">
        <v>179</v>
      </c>
      <c r="G6" s="298" t="s">
        <v>175</v>
      </c>
      <c r="H6" s="299">
        <f>H2*H13*H40*H42</f>
        <v>4.3488399270363909E-13</v>
      </c>
      <c r="I6" s="302" t="s">
        <v>179</v>
      </c>
      <c r="J6" s="288" t="s">
        <v>175</v>
      </c>
      <c r="K6" s="292">
        <f>K2*K13*K40*K42</f>
        <v>4.8320443633737689E-13</v>
      </c>
      <c r="L6" s="290" t="s">
        <v>179</v>
      </c>
      <c r="M6" s="280" t="s">
        <v>175</v>
      </c>
      <c r="N6" s="294">
        <f>N2*N13*N40*N42</f>
        <v>4.3100864247597214E-13</v>
      </c>
      <c r="O6" s="282" t="s">
        <v>179</v>
      </c>
    </row>
    <row r="7" spans="1:15" ht="13.5" thickBot="1" x14ac:dyDescent="0.25">
      <c r="A7" s="38" t="s">
        <v>22</v>
      </c>
      <c r="B7" s="211">
        <v>3.8043873993229303E-2</v>
      </c>
      <c r="C7" s="40" t="s">
        <v>11</v>
      </c>
      <c r="D7" s="285" t="s">
        <v>177</v>
      </c>
      <c r="E7" s="297">
        <f>E3*E13*E50*E52</f>
        <v>7.9305262844339654E-12</v>
      </c>
      <c r="F7" s="287" t="s">
        <v>179</v>
      </c>
      <c r="G7" s="300" t="s">
        <v>177</v>
      </c>
      <c r="H7" s="301">
        <f>H3*H13*H40*H42</f>
        <v>8.4553927683008609E-12</v>
      </c>
      <c r="I7" s="303" t="s">
        <v>179</v>
      </c>
      <c r="J7" s="289" t="s">
        <v>177</v>
      </c>
      <c r="K7" s="293">
        <f>K3*K13*K40*K42</f>
        <v>9.3948808536676245E-12</v>
      </c>
      <c r="L7" s="291" t="s">
        <v>179</v>
      </c>
      <c r="M7" s="281" t="s">
        <v>177</v>
      </c>
      <c r="N7" s="295">
        <f>N3*N13*N40*N42</f>
        <v>7.1971957362980989E-12</v>
      </c>
      <c r="O7" s="283" t="s">
        <v>179</v>
      </c>
    </row>
    <row r="8" spans="1:15" x14ac:dyDescent="0.2">
      <c r="A8" s="38" t="s">
        <v>209</v>
      </c>
      <c r="B8" s="211">
        <v>1.67911012348351E-3</v>
      </c>
      <c r="C8" s="38" t="s">
        <v>11</v>
      </c>
      <c r="D8" s="28" t="s">
        <v>21</v>
      </c>
      <c r="E8" s="32">
        <f>B6</f>
        <v>1</v>
      </c>
      <c r="F8" s="28" t="s">
        <v>138</v>
      </c>
      <c r="G8" s="28" t="s">
        <v>21</v>
      </c>
      <c r="H8" s="32">
        <f>B6</f>
        <v>1</v>
      </c>
      <c r="I8" s="28" t="s">
        <v>138</v>
      </c>
      <c r="J8" s="28" t="s">
        <v>21</v>
      </c>
      <c r="K8" s="32">
        <f>B6</f>
        <v>1</v>
      </c>
      <c r="L8" s="28" t="s">
        <v>138</v>
      </c>
      <c r="M8" s="28" t="s">
        <v>21</v>
      </c>
      <c r="N8" s="32">
        <f>B6</f>
        <v>1</v>
      </c>
      <c r="O8" s="28" t="s">
        <v>138</v>
      </c>
    </row>
    <row r="9" spans="1:15" ht="19.5" x14ac:dyDescent="0.35">
      <c r="A9" s="38" t="s">
        <v>210</v>
      </c>
      <c r="B9" s="211">
        <v>1.036E-3</v>
      </c>
      <c r="C9" s="38" t="s">
        <v>11</v>
      </c>
      <c r="D9" s="54" t="s">
        <v>206</v>
      </c>
      <c r="E9" s="32">
        <f>E38</f>
        <v>1</v>
      </c>
      <c r="G9" s="54" t="s">
        <v>207</v>
      </c>
      <c r="H9" s="32">
        <f>H30</f>
        <v>1</v>
      </c>
      <c r="J9" s="54" t="s">
        <v>208</v>
      </c>
      <c r="K9" s="32">
        <f>K30</f>
        <v>1</v>
      </c>
      <c r="M9" s="54" t="s">
        <v>140</v>
      </c>
      <c r="N9" s="32">
        <f>N30</f>
        <v>1</v>
      </c>
    </row>
    <row r="10" spans="1:15" x14ac:dyDescent="0.2">
      <c r="A10" s="57" t="s">
        <v>113</v>
      </c>
      <c r="B10" s="211">
        <v>10.423439999999999</v>
      </c>
      <c r="C10" s="38" t="s">
        <v>198</v>
      </c>
      <c r="D10" s="54" t="s">
        <v>65</v>
      </c>
      <c r="E10" s="32">
        <f>B33</f>
        <v>0.38</v>
      </c>
      <c r="G10" s="54" t="s">
        <v>2</v>
      </c>
      <c r="H10" s="32">
        <f>B33</f>
        <v>0.38</v>
      </c>
      <c r="J10" s="54" t="s">
        <v>2</v>
      </c>
      <c r="K10" s="32">
        <f>B33</f>
        <v>0.38</v>
      </c>
      <c r="M10" s="54" t="s">
        <v>2</v>
      </c>
      <c r="N10" s="32">
        <f>B33</f>
        <v>0.38</v>
      </c>
    </row>
    <row r="11" spans="1:15" x14ac:dyDescent="0.2">
      <c r="A11" s="57" t="s">
        <v>23</v>
      </c>
      <c r="B11" s="211">
        <v>1.9522299999999999</v>
      </c>
      <c r="C11" s="38" t="s">
        <v>199</v>
      </c>
      <c r="D11" s="54" t="s">
        <v>1</v>
      </c>
      <c r="E11" s="51">
        <f>0.693/E13</f>
        <v>4.3312499999999997E-4</v>
      </c>
      <c r="F11" s="54"/>
      <c r="G11" s="54" t="s">
        <v>1</v>
      </c>
      <c r="H11" s="51">
        <f>0.693/H13</f>
        <v>4.3312499999999997E-4</v>
      </c>
      <c r="J11" s="54" t="s">
        <v>1</v>
      </c>
      <c r="K11" s="51">
        <f>0.693/K13</f>
        <v>4.3312499999999997E-4</v>
      </c>
      <c r="L11" s="54"/>
      <c r="M11" s="54" t="s">
        <v>1</v>
      </c>
      <c r="N11" s="51">
        <f>0.693/N13</f>
        <v>4.3312499999999997E-4</v>
      </c>
      <c r="O11" s="54"/>
    </row>
    <row r="12" spans="1:15" x14ac:dyDescent="0.2">
      <c r="A12" s="57" t="s">
        <v>114</v>
      </c>
      <c r="B12" s="211">
        <v>1.92404</v>
      </c>
      <c r="C12" s="38" t="s">
        <v>198</v>
      </c>
      <c r="D12" s="28" t="s">
        <v>126</v>
      </c>
      <c r="E12" s="51">
        <f>(1-EXP(-E11*E9))</f>
        <v>4.3303121490789742E-4</v>
      </c>
      <c r="G12" s="28" t="s">
        <v>126</v>
      </c>
      <c r="H12" s="51">
        <f>(1-EXP(-H11*H9))</f>
        <v>4.3303121490789742E-4</v>
      </c>
      <c r="J12" s="28" t="s">
        <v>126</v>
      </c>
      <c r="K12" s="51">
        <f>(1-EXP(-K11*K9))</f>
        <v>4.3303121490789742E-4</v>
      </c>
      <c r="M12" s="28" t="s">
        <v>126</v>
      </c>
      <c r="N12" s="51">
        <f>(1-EXP(-N11*N9))</f>
        <v>4.3303121490789742E-4</v>
      </c>
    </row>
    <row r="13" spans="1:15" x14ac:dyDescent="0.2">
      <c r="A13" s="57" t="s">
        <v>115</v>
      </c>
      <c r="B13" s="211">
        <v>5.52928</v>
      </c>
      <c r="C13" s="38" t="s">
        <v>198</v>
      </c>
      <c r="D13" s="33" t="s">
        <v>9</v>
      </c>
      <c r="E13" s="53">
        <f>B16</f>
        <v>1600</v>
      </c>
      <c r="F13" s="54" t="s">
        <v>10</v>
      </c>
      <c r="G13" s="33" t="s">
        <v>9</v>
      </c>
      <c r="H13" s="53">
        <f>B16</f>
        <v>1600</v>
      </c>
      <c r="J13" s="33" t="s">
        <v>9</v>
      </c>
      <c r="K13" s="53">
        <f>B16</f>
        <v>1600</v>
      </c>
      <c r="L13" s="54"/>
      <c r="M13" s="33" t="s">
        <v>9</v>
      </c>
      <c r="N13" s="53">
        <f>B16</f>
        <v>1600</v>
      </c>
      <c r="O13" s="54"/>
    </row>
    <row r="14" spans="1:15" x14ac:dyDescent="0.2">
      <c r="A14" s="57" t="s">
        <v>116</v>
      </c>
      <c r="B14" s="211">
        <v>8.8356399999999997</v>
      </c>
      <c r="C14" s="38" t="s">
        <v>198</v>
      </c>
      <c r="D14" s="38" t="s">
        <v>209</v>
      </c>
      <c r="E14" s="53">
        <f>B8</f>
        <v>1.67911012348351E-3</v>
      </c>
      <c r="F14" s="54" t="s">
        <v>11</v>
      </c>
      <c r="G14" s="38" t="s">
        <v>210</v>
      </c>
      <c r="H14" s="53">
        <f>B9</f>
        <v>1.036E-3</v>
      </c>
      <c r="I14" s="28" t="s">
        <v>11</v>
      </c>
      <c r="J14" s="38" t="s">
        <v>210</v>
      </c>
      <c r="K14" s="53">
        <f>B9</f>
        <v>1.036E-3</v>
      </c>
      <c r="L14" s="54" t="s">
        <v>11</v>
      </c>
      <c r="M14" s="38" t="s">
        <v>210</v>
      </c>
      <c r="N14" s="53">
        <f>B9</f>
        <v>1.036E-3</v>
      </c>
      <c r="O14" s="54" t="s">
        <v>11</v>
      </c>
    </row>
    <row r="15" spans="1:15" x14ac:dyDescent="0.2">
      <c r="A15" s="57" t="s">
        <v>117</v>
      </c>
      <c r="B15" s="211">
        <v>15429.68</v>
      </c>
      <c r="C15" s="38" t="s">
        <v>200</v>
      </c>
      <c r="D15" s="54" t="s">
        <v>22</v>
      </c>
      <c r="E15" s="53">
        <f>B7</f>
        <v>3.8043873993229303E-2</v>
      </c>
      <c r="F15" s="54" t="s">
        <v>201</v>
      </c>
      <c r="G15" s="54" t="s">
        <v>22</v>
      </c>
      <c r="H15" s="53">
        <f>B7</f>
        <v>3.8043873993229303E-2</v>
      </c>
      <c r="I15" s="28" t="s">
        <v>201</v>
      </c>
      <c r="J15" s="54" t="s">
        <v>22</v>
      </c>
      <c r="K15" s="53">
        <f>B7</f>
        <v>3.8043873993229303E-2</v>
      </c>
      <c r="L15" s="54" t="s">
        <v>201</v>
      </c>
      <c r="M15" s="54" t="s">
        <v>22</v>
      </c>
      <c r="N15" s="53">
        <f>B7</f>
        <v>3.8043873993229303E-2</v>
      </c>
      <c r="O15" s="54" t="s">
        <v>201</v>
      </c>
    </row>
    <row r="16" spans="1:15" x14ac:dyDescent="0.2">
      <c r="A16" s="59" t="s">
        <v>9</v>
      </c>
      <c r="B16" s="211">
        <v>1600</v>
      </c>
      <c r="C16" s="39" t="s">
        <v>118</v>
      </c>
      <c r="D16" s="54" t="s">
        <v>23</v>
      </c>
      <c r="E16" s="53">
        <f>B11</f>
        <v>1.9522299999999999</v>
      </c>
      <c r="F16" s="54" t="s">
        <v>198</v>
      </c>
      <c r="G16" s="54" t="s">
        <v>23</v>
      </c>
      <c r="H16" s="53">
        <f>B11</f>
        <v>1.9522299999999999</v>
      </c>
      <c r="I16" s="28" t="s">
        <v>201</v>
      </c>
      <c r="J16" s="54" t="s">
        <v>23</v>
      </c>
      <c r="K16" s="53">
        <f>B11</f>
        <v>1.9522299999999999</v>
      </c>
      <c r="L16" s="54" t="s">
        <v>201</v>
      </c>
      <c r="M16" s="54" t="s">
        <v>23</v>
      </c>
      <c r="N16" s="53">
        <f>B11</f>
        <v>1.9522299999999999</v>
      </c>
      <c r="O16" s="54" t="s">
        <v>201</v>
      </c>
    </row>
    <row r="17" spans="1:15" x14ac:dyDescent="0.2">
      <c r="A17" s="38" t="s">
        <v>141</v>
      </c>
      <c r="B17" s="328">
        <v>0.79192166462668301</v>
      </c>
      <c r="C17" s="40"/>
      <c r="D17" s="28" t="s">
        <v>92</v>
      </c>
      <c r="E17" s="47">
        <f>(E8*E9*E11)/(((1-EXP(-E10*E9))/(E10*E9))*E12*E14*E22)</f>
        <v>1.8223335457671158E-2</v>
      </c>
      <c r="F17" s="28" t="s">
        <v>94</v>
      </c>
      <c r="G17" s="28" t="s">
        <v>92</v>
      </c>
      <c r="H17" s="47">
        <f>(H8*H9*H11)/(((1-EXP(-H10*H9))/(H10*H9))*H12*H14*H22*H28)</f>
        <v>2.368341344664688E-2</v>
      </c>
      <c r="I17" s="28" t="s">
        <v>94</v>
      </c>
      <c r="J17" s="28" t="s">
        <v>92</v>
      </c>
      <c r="K17" s="47">
        <f>(K8*K9*K11)/(((1-EXP(-K10*K9))/(K10*K9))*K12*K14*K22*K28)</f>
        <v>2.6314903829607644E-2</v>
      </c>
      <c r="L17" s="28" t="s">
        <v>94</v>
      </c>
      <c r="M17" s="28" t="s">
        <v>92</v>
      </c>
      <c r="N17" s="47">
        <f>(N8*N9*N11)/(((1-EXP(-N10*N9))/(N10*N9))*N12*N14*N22*N28)</f>
        <v>1.5788942297764584E-2</v>
      </c>
      <c r="O17" s="28" t="s">
        <v>94</v>
      </c>
    </row>
    <row r="18" spans="1:15" x14ac:dyDescent="0.2">
      <c r="A18" s="38" t="s">
        <v>142</v>
      </c>
      <c r="B18" s="328">
        <v>0.45572139303482601</v>
      </c>
      <c r="C18" s="40"/>
      <c r="D18" s="28" t="s">
        <v>166</v>
      </c>
      <c r="E18" s="46">
        <f>(E8*E9*E11)/(((1-EXP(-E10*E9))/(E10*E9))*E12*E15*E23*(1/E48)*E47*(E41+E42)*(1/24))</f>
        <v>4.6682674542107067E-4</v>
      </c>
      <c r="F18" s="28" t="s">
        <v>94</v>
      </c>
      <c r="G18" s="28" t="s">
        <v>166</v>
      </c>
      <c r="H18" s="46">
        <f>(H8*H9*H11)/(((1-EXP(-H10*H9))/(H10*H9))*H12*H15*H29*H25*H28*(1/H38)*H37)</f>
        <v>4.3746337790115164E-4</v>
      </c>
      <c r="I18" s="28" t="s">
        <v>94</v>
      </c>
      <c r="J18" s="28" t="s">
        <v>166</v>
      </c>
      <c r="K18" s="46">
        <f>(K8*K9*K11)/(((1-EXP(-K10*K9))/(K10*K9))*K12*K15*K29*K25*K28*(1/K38)*K37)</f>
        <v>4.860704198901686E-4</v>
      </c>
      <c r="L18" s="28" t="s">
        <v>94</v>
      </c>
      <c r="M18" s="28" t="s">
        <v>166</v>
      </c>
      <c r="N18" s="46">
        <f>(N8*N9*N11)/(((1-EXP(-N10*N9))/(N10*N9))*N12*N15*N29*N25*N28*(1/N38)*N37)</f>
        <v>4.3746337790115164E-4</v>
      </c>
      <c r="O18" s="28" t="s">
        <v>94</v>
      </c>
    </row>
    <row r="19" spans="1:15" x14ac:dyDescent="0.2">
      <c r="A19" s="38" t="s">
        <v>143</v>
      </c>
      <c r="B19" s="328">
        <v>0.62403100775193798</v>
      </c>
      <c r="C19" s="40"/>
      <c r="D19" s="28" t="s">
        <v>165</v>
      </c>
      <c r="E19" s="46">
        <f>(E8*E9*E11)/(((1-EXP(-E10*E9))/(E10*E9))*E12*E15*E23*(1/E49)*E47*(E41+E42)*(1/24))</f>
        <v>1.381572198467633E-2</v>
      </c>
      <c r="F19" s="28" t="s">
        <v>94</v>
      </c>
      <c r="G19" s="28" t="s">
        <v>165</v>
      </c>
      <c r="H19" s="46">
        <f>(H8*H9*H11)/(((1-EXP(-H10*H9))/(H10*H9))*H12*H15*H29*H25*H28*(1/H39)*H37)</f>
        <v>1.2946671624674231E-2</v>
      </c>
      <c r="I19" s="28" t="s">
        <v>94</v>
      </c>
      <c r="J19" s="28" t="s">
        <v>165</v>
      </c>
      <c r="K19" s="46">
        <f>(K8*K9*K11)/(((1-EXP(-K10*K9))/(K10*K9))*K12*K15*K29*K25*K28*(1/K39)*K37)</f>
        <v>1.438519069408248E-2</v>
      </c>
      <c r="L19" s="28" t="s">
        <v>94</v>
      </c>
      <c r="M19" s="28" t="s">
        <v>165</v>
      </c>
      <c r="N19" s="46">
        <f>(N8*N9*N11)/(((1-EXP(-N10*N9))/(N10*N9))*N12*N15*N29*N25*N28*(1/N39)*N37)</f>
        <v>1.2946671624674231E-2</v>
      </c>
      <c r="O19" s="28" t="s">
        <v>94</v>
      </c>
    </row>
    <row r="20" spans="1:15" x14ac:dyDescent="0.2">
      <c r="A20" s="38" t="s">
        <v>144</v>
      </c>
      <c r="B20" s="328">
        <v>0.73657289002557502</v>
      </c>
      <c r="D20" s="28" t="s">
        <v>93</v>
      </c>
      <c r="E20" s="45">
        <f>(E8*E9*E11)/(((1-EXP(-E10*E9))/(E10*E9))*E12*E16*E39*E40*E28*(1/365)*E46*((E41*E44)+(E42*E45))*(1/24))</f>
        <v>2.3416255756041497</v>
      </c>
      <c r="F20" s="28" t="s">
        <v>94</v>
      </c>
      <c r="G20" s="28" t="s">
        <v>93</v>
      </c>
      <c r="H20" s="45">
        <f>(H8*H9*H11)/(((1-EXP(-H10*H9))/(H10*H9))*H12*H16*H31*H32*H36*H28*(1/365)*H34*H25*(1/24))</f>
        <v>3.4061285622737953</v>
      </c>
      <c r="I20" s="28" t="s">
        <v>94</v>
      </c>
      <c r="J20" s="28" t="s">
        <v>93</v>
      </c>
      <c r="K20" s="45">
        <f>(K8*K9*K11)/(((1-EXP(-K10*K9))/(K10*K9))*K12*K16*K31*K32*K36*K28*(1/365)*K34*K25*(1/24))</f>
        <v>3.784587291415328</v>
      </c>
      <c r="L20" s="28" t="s">
        <v>94</v>
      </c>
      <c r="M20" s="28" t="s">
        <v>93</v>
      </c>
      <c r="N20" s="45">
        <f>(N8*N9*N11)/(((1-EXP(-N10*N9))/(N10*N9))*N12*N16*N31*N32*N36*N28*(1/365)*N35*N25*(1/24))</f>
        <v>8.515321405684487</v>
      </c>
      <c r="O20" s="28" t="s">
        <v>94</v>
      </c>
    </row>
    <row r="21" spans="1:15" x14ac:dyDescent="0.2">
      <c r="A21" s="38" t="s">
        <v>145</v>
      </c>
      <c r="B21" s="328">
        <v>0.75113122171945701</v>
      </c>
    </row>
    <row r="22" spans="1:15" x14ac:dyDescent="0.2">
      <c r="A22" s="58" t="s">
        <v>102</v>
      </c>
      <c r="B22" s="209">
        <v>226.025409</v>
      </c>
      <c r="C22" s="40" t="s">
        <v>103</v>
      </c>
      <c r="D22" s="60" t="s">
        <v>220</v>
      </c>
      <c r="E22" s="61">
        <f>(E24*E27*E29*E25*E31*E33*E35)+(E24*E26*E28*E25*E32*E30*E34)</f>
        <v>39291</v>
      </c>
      <c r="F22" s="62" t="s">
        <v>24</v>
      </c>
      <c r="G22" s="60" t="s">
        <v>217</v>
      </c>
      <c r="H22" s="71">
        <f>H23*H25*H24*H26*H27</f>
        <v>196</v>
      </c>
      <c r="I22" s="62" t="s">
        <v>24</v>
      </c>
      <c r="J22" s="60" t="s">
        <v>218</v>
      </c>
      <c r="K22" s="71">
        <f>K23*K25*K24*K26*K27</f>
        <v>196</v>
      </c>
      <c r="L22" s="62" t="s">
        <v>24</v>
      </c>
      <c r="M22" s="60" t="s">
        <v>219</v>
      </c>
      <c r="N22" s="71">
        <f>N23*N25*N24*N26*N27</f>
        <v>294</v>
      </c>
      <c r="O22" s="62" t="s">
        <v>24</v>
      </c>
    </row>
    <row r="23" spans="1:15" x14ac:dyDescent="0.2">
      <c r="A23" t="s">
        <v>90</v>
      </c>
      <c r="B23" s="188">
        <v>1.1679999999999999</v>
      </c>
      <c r="D23" s="63" t="s">
        <v>221</v>
      </c>
      <c r="E23" s="64">
        <f>(E37*E29*E31)+(E36*E28*E30)</f>
        <v>6195</v>
      </c>
      <c r="F23" s="65" t="s">
        <v>25</v>
      </c>
      <c r="G23" s="63" t="s">
        <v>162</v>
      </c>
      <c r="H23" s="66">
        <f>B27</f>
        <v>0.5</v>
      </c>
      <c r="I23" s="65"/>
      <c r="J23" s="63" t="s">
        <v>162</v>
      </c>
      <c r="K23" s="66">
        <f>B27</f>
        <v>0.5</v>
      </c>
      <c r="L23" s="65"/>
      <c r="M23" s="63" t="s">
        <v>162</v>
      </c>
      <c r="N23" s="66">
        <f>B27</f>
        <v>0.5</v>
      </c>
      <c r="O23" s="65"/>
    </row>
    <row r="24" spans="1:15" x14ac:dyDescent="0.2">
      <c r="A24" s="28" t="s">
        <v>139</v>
      </c>
      <c r="B24" s="55">
        <v>1</v>
      </c>
      <c r="D24" s="63" t="s">
        <v>162</v>
      </c>
      <c r="E24" s="66">
        <f>B27</f>
        <v>0.5</v>
      </c>
      <c r="F24" s="65"/>
      <c r="G24" s="63" t="s">
        <v>119</v>
      </c>
      <c r="H24" s="66">
        <f>B28</f>
        <v>0.5</v>
      </c>
      <c r="I24" s="65"/>
      <c r="J24" s="63" t="s">
        <v>119</v>
      </c>
      <c r="K24" s="66">
        <f>B28</f>
        <v>0.5</v>
      </c>
      <c r="L24" s="65"/>
      <c r="M24" s="63" t="s">
        <v>119</v>
      </c>
      <c r="N24" s="66">
        <f>B28</f>
        <v>0.5</v>
      </c>
      <c r="O24" s="65"/>
    </row>
    <row r="25" spans="1:15" x14ac:dyDescent="0.2">
      <c r="A25" s="28" t="s">
        <v>3</v>
      </c>
      <c r="B25" s="55">
        <v>1</v>
      </c>
      <c r="C25" s="37"/>
      <c r="D25" s="63" t="s">
        <v>119</v>
      </c>
      <c r="E25" s="66">
        <f>B28</f>
        <v>0.5</v>
      </c>
      <c r="F25" s="65"/>
      <c r="G25" s="63" t="s">
        <v>122</v>
      </c>
      <c r="H25" s="66">
        <f>B58</f>
        <v>8</v>
      </c>
      <c r="I25" s="65" t="s">
        <v>203</v>
      </c>
      <c r="J25" s="63" t="s">
        <v>132</v>
      </c>
      <c r="K25" s="66">
        <f>B67</f>
        <v>8</v>
      </c>
      <c r="L25" s="65" t="s">
        <v>203</v>
      </c>
      <c r="M25" s="63" t="s">
        <v>14</v>
      </c>
      <c r="N25" s="66">
        <f>B76</f>
        <v>8</v>
      </c>
      <c r="O25" s="65" t="s">
        <v>203</v>
      </c>
    </row>
    <row r="26" spans="1:15" x14ac:dyDescent="0.2">
      <c r="A26" s="28" t="s">
        <v>27</v>
      </c>
      <c r="B26" s="55">
        <v>1</v>
      </c>
      <c r="C26" s="37"/>
      <c r="D26" s="67" t="s">
        <v>159</v>
      </c>
      <c r="E26" s="66">
        <f>B40</f>
        <v>4</v>
      </c>
      <c r="F26" s="65" t="s">
        <v>203</v>
      </c>
      <c r="G26" s="63" t="s">
        <v>136</v>
      </c>
      <c r="H26" s="66">
        <f>B62</f>
        <v>49</v>
      </c>
      <c r="I26" s="65" t="s">
        <v>24</v>
      </c>
      <c r="J26" s="63" t="s">
        <v>130</v>
      </c>
      <c r="K26" s="66">
        <f>B71</f>
        <v>49</v>
      </c>
      <c r="L26" s="65" t="s">
        <v>24</v>
      </c>
      <c r="M26" s="63" t="s">
        <v>17</v>
      </c>
      <c r="N26" s="66">
        <f>B80</f>
        <v>49</v>
      </c>
      <c r="O26" s="65" t="s">
        <v>24</v>
      </c>
    </row>
    <row r="27" spans="1:15" x14ac:dyDescent="0.2">
      <c r="A27" s="28" t="s">
        <v>162</v>
      </c>
      <c r="B27" s="55">
        <v>0.5</v>
      </c>
      <c r="C27" s="37"/>
      <c r="D27" s="67" t="s">
        <v>158</v>
      </c>
      <c r="E27" s="66">
        <f>B39</f>
        <v>4</v>
      </c>
      <c r="F27" s="65" t="s">
        <v>203</v>
      </c>
      <c r="G27" s="68" t="s">
        <v>137</v>
      </c>
      <c r="H27" s="69">
        <f>B64</f>
        <v>2</v>
      </c>
      <c r="I27" s="70" t="s">
        <v>204</v>
      </c>
      <c r="J27" s="68" t="s">
        <v>131</v>
      </c>
      <c r="K27" s="69">
        <f>B73</f>
        <v>2</v>
      </c>
      <c r="L27" s="70" t="s">
        <v>204</v>
      </c>
      <c r="M27" s="68" t="s">
        <v>18</v>
      </c>
      <c r="N27" s="69">
        <f>B82</f>
        <v>3</v>
      </c>
      <c r="O27" s="70" t="s">
        <v>204</v>
      </c>
    </row>
    <row r="28" spans="1:15" x14ac:dyDescent="0.2">
      <c r="A28" s="28" t="s">
        <v>119</v>
      </c>
      <c r="B28" s="55">
        <v>0.5</v>
      </c>
      <c r="C28" s="40"/>
      <c r="D28" s="67" t="s">
        <v>157</v>
      </c>
      <c r="E28" s="66">
        <f>B37</f>
        <v>350</v>
      </c>
      <c r="F28" s="65" t="s">
        <v>202</v>
      </c>
      <c r="G28" s="63" t="s">
        <v>133</v>
      </c>
      <c r="H28" s="66">
        <f>B57</f>
        <v>250</v>
      </c>
      <c r="I28" s="74" t="s">
        <v>202</v>
      </c>
      <c r="J28" s="74" t="s">
        <v>128</v>
      </c>
      <c r="K28" s="66">
        <f>B66</f>
        <v>225</v>
      </c>
      <c r="L28" s="74" t="s">
        <v>202</v>
      </c>
      <c r="M28" s="74" t="s">
        <v>13</v>
      </c>
      <c r="N28" s="66">
        <f>B75</f>
        <v>250</v>
      </c>
      <c r="O28" s="74" t="s">
        <v>202</v>
      </c>
    </row>
    <row r="29" spans="1:15" x14ac:dyDescent="0.2">
      <c r="A29" s="28" t="s">
        <v>29</v>
      </c>
      <c r="B29" s="55">
        <v>0.4</v>
      </c>
      <c r="C29" s="28"/>
      <c r="D29" s="67" t="s">
        <v>156</v>
      </c>
      <c r="E29" s="66">
        <f>B36</f>
        <v>350</v>
      </c>
      <c r="F29" s="65" t="s">
        <v>202</v>
      </c>
      <c r="G29" s="63" t="s">
        <v>134</v>
      </c>
      <c r="H29" s="66">
        <f>B63</f>
        <v>2.5</v>
      </c>
      <c r="I29" s="74" t="s">
        <v>26</v>
      </c>
      <c r="J29" s="74" t="s">
        <v>127</v>
      </c>
      <c r="K29" s="66">
        <v>2.5</v>
      </c>
      <c r="L29" s="74" t="s">
        <v>26</v>
      </c>
      <c r="M29" s="74" t="s">
        <v>12</v>
      </c>
      <c r="N29" s="66">
        <f>B81</f>
        <v>2.5</v>
      </c>
      <c r="O29" s="74" t="s">
        <v>26</v>
      </c>
    </row>
    <row r="30" spans="1:15" x14ac:dyDescent="0.2">
      <c r="A30" s="54" t="s">
        <v>99</v>
      </c>
      <c r="B30" s="55">
        <v>1</v>
      </c>
      <c r="C30" s="28"/>
      <c r="D30" s="63" t="s">
        <v>163</v>
      </c>
      <c r="E30" s="66">
        <f>B54</f>
        <v>0.77</v>
      </c>
      <c r="F30" s="65"/>
      <c r="G30" s="28" t="s">
        <v>135</v>
      </c>
      <c r="H30" s="32">
        <f>B61</f>
        <v>1</v>
      </c>
      <c r="I30" s="28" t="s">
        <v>205</v>
      </c>
      <c r="J30" s="28" t="s">
        <v>129</v>
      </c>
      <c r="K30" s="32">
        <f>B70</f>
        <v>1</v>
      </c>
      <c r="L30" s="28" t="s">
        <v>205</v>
      </c>
      <c r="M30" s="28" t="s">
        <v>15</v>
      </c>
      <c r="N30" s="32">
        <f>B79</f>
        <v>1</v>
      </c>
      <c r="O30" s="28" t="s">
        <v>205</v>
      </c>
    </row>
    <row r="31" spans="1:15" x14ac:dyDescent="0.2">
      <c r="A31" s="54" t="s">
        <v>16</v>
      </c>
      <c r="B31" s="55">
        <v>0.4</v>
      </c>
      <c r="C31" s="28"/>
      <c r="D31" s="63" t="s">
        <v>164</v>
      </c>
      <c r="E31" s="66">
        <f>B55</f>
        <v>0.23</v>
      </c>
      <c r="F31" s="65"/>
      <c r="G31" s="28" t="s">
        <v>3</v>
      </c>
      <c r="H31" s="32">
        <f>B25</f>
        <v>1</v>
      </c>
      <c r="J31" s="28" t="s">
        <v>3</v>
      </c>
      <c r="K31" s="32">
        <f>B25</f>
        <v>1</v>
      </c>
      <c r="M31" s="28" t="s">
        <v>3</v>
      </c>
      <c r="N31" s="32">
        <f>B25</f>
        <v>1</v>
      </c>
    </row>
    <row r="32" spans="1:15" x14ac:dyDescent="0.2">
      <c r="A32" s="54" t="s">
        <v>31</v>
      </c>
      <c r="B32" s="52">
        <v>666666666</v>
      </c>
      <c r="C32" s="54" t="s">
        <v>32</v>
      </c>
      <c r="D32" s="63" t="s">
        <v>147</v>
      </c>
      <c r="E32" s="66">
        <f>B52</f>
        <v>49</v>
      </c>
      <c r="F32" s="65" t="s">
        <v>24</v>
      </c>
      <c r="G32" s="28" t="s">
        <v>27</v>
      </c>
      <c r="H32" s="32">
        <f>B26</f>
        <v>1</v>
      </c>
      <c r="J32" s="28" t="s">
        <v>27</v>
      </c>
      <c r="K32" s="32">
        <f>B26</f>
        <v>1</v>
      </c>
      <c r="M32" s="28" t="s">
        <v>27</v>
      </c>
      <c r="N32" s="32">
        <f>B26</f>
        <v>1</v>
      </c>
    </row>
    <row r="33" spans="1:15" x14ac:dyDescent="0.2">
      <c r="A33" s="38" t="s">
        <v>65</v>
      </c>
      <c r="B33" s="42">
        <v>0.38</v>
      </c>
      <c r="D33" s="63" t="s">
        <v>146</v>
      </c>
      <c r="E33" s="66">
        <f>B53</f>
        <v>16</v>
      </c>
      <c r="F33" s="65" t="s">
        <v>24</v>
      </c>
      <c r="G33" s="28" t="s">
        <v>29</v>
      </c>
      <c r="H33" s="32">
        <f>B29</f>
        <v>0.4</v>
      </c>
      <c r="J33" s="28" t="s">
        <v>29</v>
      </c>
      <c r="K33" s="32">
        <f>B29</f>
        <v>0.4</v>
      </c>
      <c r="M33" s="28" t="s">
        <v>29</v>
      </c>
      <c r="N33" s="32">
        <f>B29</f>
        <v>0.4</v>
      </c>
    </row>
    <row r="34" spans="1:15" ht="15" x14ac:dyDescent="0.2">
      <c r="A34" s="367" t="s">
        <v>7</v>
      </c>
      <c r="B34" s="367"/>
      <c r="C34" s="368"/>
      <c r="D34" s="67" t="s">
        <v>151</v>
      </c>
      <c r="E34" s="66">
        <f>B48</f>
        <v>2</v>
      </c>
      <c r="F34" s="65" t="s">
        <v>204</v>
      </c>
      <c r="G34" s="54" t="s">
        <v>99</v>
      </c>
      <c r="H34" s="32">
        <f>B30</f>
        <v>1</v>
      </c>
      <c r="J34" s="54" t="s">
        <v>99</v>
      </c>
      <c r="K34" s="32">
        <f>B30</f>
        <v>1</v>
      </c>
      <c r="M34" s="54" t="s">
        <v>99</v>
      </c>
      <c r="N34" s="32">
        <f>B30</f>
        <v>1</v>
      </c>
    </row>
    <row r="35" spans="1:15" x14ac:dyDescent="0.2">
      <c r="A35" s="40" t="s">
        <v>155</v>
      </c>
      <c r="B35" s="166">
        <v>350</v>
      </c>
      <c r="C35" s="40" t="s">
        <v>202</v>
      </c>
      <c r="D35" s="67" t="s">
        <v>150</v>
      </c>
      <c r="E35" s="66">
        <f>B49</f>
        <v>10</v>
      </c>
      <c r="F35" s="65" t="s">
        <v>204</v>
      </c>
      <c r="G35" s="54" t="s">
        <v>16</v>
      </c>
      <c r="H35" s="32">
        <f>B31</f>
        <v>0.4</v>
      </c>
      <c r="J35" s="54" t="s">
        <v>16</v>
      </c>
      <c r="K35" s="32">
        <f>B31</f>
        <v>0.4</v>
      </c>
      <c r="M35" s="54" t="s">
        <v>16</v>
      </c>
      <c r="N35" s="32">
        <f>B31</f>
        <v>0.4</v>
      </c>
    </row>
    <row r="36" spans="1:15" x14ac:dyDescent="0.2">
      <c r="A36" s="40" t="s">
        <v>156</v>
      </c>
      <c r="B36" s="166">
        <v>350</v>
      </c>
      <c r="C36" s="40" t="s">
        <v>202</v>
      </c>
      <c r="D36" s="63" t="s">
        <v>149</v>
      </c>
      <c r="E36" s="66">
        <f>B47</f>
        <v>20</v>
      </c>
      <c r="F36" s="65" t="s">
        <v>26</v>
      </c>
      <c r="G36" s="28" t="s">
        <v>30</v>
      </c>
      <c r="H36" s="43">
        <f>B17</f>
        <v>0.79192166462668301</v>
      </c>
      <c r="I36" s="332"/>
      <c r="J36" s="332" t="s">
        <v>30</v>
      </c>
      <c r="K36" s="43">
        <f>B17</f>
        <v>0.79192166462668301</v>
      </c>
      <c r="L36" s="332"/>
      <c r="M36" s="332" t="s">
        <v>30</v>
      </c>
      <c r="N36" s="43">
        <f>B17</f>
        <v>0.79192166462668301</v>
      </c>
    </row>
    <row r="37" spans="1:15" x14ac:dyDescent="0.2">
      <c r="A37" s="40" t="s">
        <v>157</v>
      </c>
      <c r="B37" s="166">
        <v>350</v>
      </c>
      <c r="C37" s="40" t="s">
        <v>202</v>
      </c>
      <c r="D37" s="68" t="s">
        <v>148</v>
      </c>
      <c r="E37" s="69">
        <f>B46</f>
        <v>10</v>
      </c>
      <c r="F37" s="70" t="s">
        <v>26</v>
      </c>
      <c r="G37" s="54" t="s">
        <v>31</v>
      </c>
      <c r="H37" s="53">
        <f>B32</f>
        <v>666666666</v>
      </c>
      <c r="I37" s="54" t="s">
        <v>32</v>
      </c>
      <c r="J37" s="54" t="s">
        <v>31</v>
      </c>
      <c r="K37" s="53">
        <f>B32</f>
        <v>666666666</v>
      </c>
      <c r="L37" s="54" t="s">
        <v>32</v>
      </c>
      <c r="M37" s="54" t="s">
        <v>31</v>
      </c>
      <c r="N37" s="53">
        <f>B32</f>
        <v>666666666</v>
      </c>
      <c r="O37" s="54" t="s">
        <v>32</v>
      </c>
    </row>
    <row r="38" spans="1:15" x14ac:dyDescent="0.2">
      <c r="A38" s="40" t="s">
        <v>154</v>
      </c>
      <c r="B38" s="42">
        <v>24</v>
      </c>
      <c r="C38" s="40" t="s">
        <v>203</v>
      </c>
      <c r="D38" s="28" t="s">
        <v>125</v>
      </c>
      <c r="E38" s="32">
        <f>B43</f>
        <v>1</v>
      </c>
      <c r="F38" s="28" t="s">
        <v>205</v>
      </c>
      <c r="G38" s="44" t="s">
        <v>98</v>
      </c>
      <c r="H38" s="43">
        <f>PEF!K2</f>
        <v>46142917.395111896</v>
      </c>
      <c r="I38" s="28" t="s">
        <v>34</v>
      </c>
      <c r="J38" s="44" t="s">
        <v>98</v>
      </c>
      <c r="K38" s="43">
        <f>PEF!K2</f>
        <v>46142917.395111896</v>
      </c>
      <c r="L38" s="28" t="s">
        <v>34</v>
      </c>
      <c r="M38" s="44" t="s">
        <v>98</v>
      </c>
      <c r="N38" s="43">
        <f>PEF!K2</f>
        <v>46142917.395111896</v>
      </c>
      <c r="O38" s="28" t="s">
        <v>34</v>
      </c>
    </row>
    <row r="39" spans="1:15" x14ac:dyDescent="0.2">
      <c r="A39" s="40" t="s">
        <v>158</v>
      </c>
      <c r="B39" s="42">
        <v>4</v>
      </c>
      <c r="C39" s="40" t="s">
        <v>203</v>
      </c>
      <c r="D39" s="28" t="s">
        <v>3</v>
      </c>
      <c r="E39" s="32">
        <f>B25</f>
        <v>1</v>
      </c>
      <c r="G39" s="28" t="s">
        <v>33</v>
      </c>
      <c r="H39" s="43">
        <f>PEF!C2</f>
        <v>1365593623.3683286</v>
      </c>
      <c r="I39" s="28" t="s">
        <v>34</v>
      </c>
      <c r="J39" s="28" t="s">
        <v>33</v>
      </c>
      <c r="K39" s="43">
        <f>PEF!C2</f>
        <v>1365593623.3683286</v>
      </c>
      <c r="L39" s="28" t="s">
        <v>34</v>
      </c>
      <c r="M39" s="28" t="s">
        <v>33</v>
      </c>
      <c r="N39" s="43">
        <f>PEF!C2</f>
        <v>1365593623.3683286</v>
      </c>
      <c r="O39" s="28" t="s">
        <v>34</v>
      </c>
    </row>
    <row r="40" spans="1:15" x14ac:dyDescent="0.2">
      <c r="A40" s="40" t="s">
        <v>159</v>
      </c>
      <c r="B40" s="42">
        <v>4</v>
      </c>
      <c r="C40" s="40" t="s">
        <v>203</v>
      </c>
      <c r="D40" s="28" t="s">
        <v>27</v>
      </c>
      <c r="E40" s="32">
        <f>B26</f>
        <v>1</v>
      </c>
      <c r="G40" s="28" t="s">
        <v>102</v>
      </c>
      <c r="H40" s="329">
        <f>B22</f>
        <v>226.025409</v>
      </c>
      <c r="I40" s="28" t="s">
        <v>103</v>
      </c>
      <c r="J40" s="28" t="s">
        <v>102</v>
      </c>
      <c r="K40" s="329">
        <f>B22</f>
        <v>226.025409</v>
      </c>
      <c r="L40" s="28" t="s">
        <v>103</v>
      </c>
      <c r="M40" s="28" t="s">
        <v>102</v>
      </c>
      <c r="N40" s="329">
        <f>B22</f>
        <v>226.025409</v>
      </c>
      <c r="O40" s="28" t="s">
        <v>103</v>
      </c>
    </row>
    <row r="41" spans="1:15" x14ac:dyDescent="0.2">
      <c r="A41" s="40" t="s">
        <v>152</v>
      </c>
      <c r="B41" s="42">
        <v>24</v>
      </c>
      <c r="C41" s="40" t="s">
        <v>203</v>
      </c>
      <c r="D41" s="28" t="s">
        <v>160</v>
      </c>
      <c r="E41" s="32">
        <f>B50</f>
        <v>1.752</v>
      </c>
      <c r="F41" s="28" t="s">
        <v>203</v>
      </c>
      <c r="G41" s="28" t="s">
        <v>100</v>
      </c>
      <c r="H41" s="207">
        <v>27.027027027027</v>
      </c>
      <c r="I41" s="208" t="s">
        <v>101</v>
      </c>
      <c r="J41" s="208" t="s">
        <v>100</v>
      </c>
      <c r="K41" s="207">
        <v>27.027027027027</v>
      </c>
      <c r="L41" s="208" t="s">
        <v>101</v>
      </c>
      <c r="M41" s="208" t="s">
        <v>100</v>
      </c>
      <c r="N41" s="207">
        <v>27.027027027027</v>
      </c>
      <c r="O41" s="28" t="s">
        <v>101</v>
      </c>
    </row>
    <row r="42" spans="1:15" x14ac:dyDescent="0.2">
      <c r="A42" s="40" t="s">
        <v>153</v>
      </c>
      <c r="B42" s="42">
        <v>24</v>
      </c>
      <c r="C42" s="40" t="s">
        <v>203</v>
      </c>
      <c r="D42" s="28" t="s">
        <v>161</v>
      </c>
      <c r="E42" s="32">
        <f>B51</f>
        <v>16.399999999999999</v>
      </c>
      <c r="F42" s="28" t="s">
        <v>203</v>
      </c>
      <c r="G42" s="28" t="s">
        <v>104</v>
      </c>
      <c r="H42" s="32">
        <f>2.8*(10^(-15))</f>
        <v>2.8000000000000001E-15</v>
      </c>
      <c r="J42" s="28" t="s">
        <v>104</v>
      </c>
      <c r="K42" s="32">
        <f>2.8*(10^(-15))</f>
        <v>2.8000000000000001E-15</v>
      </c>
      <c r="M42" s="28" t="s">
        <v>104</v>
      </c>
      <c r="N42" s="32">
        <f>2.8*(10^(-15))</f>
        <v>2.8000000000000001E-15</v>
      </c>
    </row>
    <row r="43" spans="1:15" x14ac:dyDescent="0.2">
      <c r="A43" s="40" t="s">
        <v>125</v>
      </c>
      <c r="B43" s="42">
        <v>1</v>
      </c>
      <c r="C43" s="40" t="s">
        <v>10</v>
      </c>
      <c r="D43" s="28" t="s">
        <v>29</v>
      </c>
      <c r="E43" s="32">
        <f>B29</f>
        <v>0.4</v>
      </c>
    </row>
    <row r="44" spans="1:15" x14ac:dyDescent="0.2">
      <c r="A44" s="40" t="s">
        <v>146</v>
      </c>
      <c r="B44" s="42">
        <v>16</v>
      </c>
      <c r="C44" s="40" t="s">
        <v>120</v>
      </c>
      <c r="D44" s="54" t="s">
        <v>99</v>
      </c>
      <c r="E44" s="32">
        <f>B30</f>
        <v>1</v>
      </c>
    </row>
    <row r="45" spans="1:15" x14ac:dyDescent="0.2">
      <c r="A45" s="40" t="s">
        <v>147</v>
      </c>
      <c r="B45" s="42">
        <v>49</v>
      </c>
      <c r="C45" s="40" t="s">
        <v>120</v>
      </c>
      <c r="D45" s="54" t="s">
        <v>16</v>
      </c>
      <c r="E45" s="32">
        <f>B31</f>
        <v>0.4</v>
      </c>
    </row>
    <row r="46" spans="1:15" x14ac:dyDescent="0.2">
      <c r="A46" s="40" t="s">
        <v>148</v>
      </c>
      <c r="B46" s="42">
        <v>10</v>
      </c>
      <c r="C46" s="40" t="s">
        <v>121</v>
      </c>
      <c r="D46" s="28" t="s">
        <v>30</v>
      </c>
      <c r="E46" s="43">
        <f>B17</f>
        <v>0.79192166462668301</v>
      </c>
    </row>
    <row r="47" spans="1:15" x14ac:dyDescent="0.2">
      <c r="A47" s="40" t="s">
        <v>149</v>
      </c>
      <c r="B47" s="42">
        <v>20</v>
      </c>
      <c r="C47" s="40" t="s">
        <v>121</v>
      </c>
      <c r="D47" s="54" t="s">
        <v>31</v>
      </c>
      <c r="E47" s="53">
        <f>B32</f>
        <v>666666666</v>
      </c>
      <c r="F47" s="54" t="s">
        <v>32</v>
      </c>
    </row>
    <row r="48" spans="1:15" x14ac:dyDescent="0.2">
      <c r="A48" s="40" t="s">
        <v>151</v>
      </c>
      <c r="B48" s="55">
        <v>2</v>
      </c>
      <c r="C48" s="28" t="s">
        <v>204</v>
      </c>
      <c r="D48" s="44" t="s">
        <v>98</v>
      </c>
      <c r="E48" s="43">
        <f>PEF!I2</f>
        <v>46142766.007587641</v>
      </c>
      <c r="F48" s="28" t="s">
        <v>34</v>
      </c>
    </row>
    <row r="49" spans="1:6" x14ac:dyDescent="0.2">
      <c r="A49" s="40" t="s">
        <v>150</v>
      </c>
      <c r="B49" s="55">
        <v>10</v>
      </c>
      <c r="C49" s="28" t="s">
        <v>204</v>
      </c>
      <c r="D49" s="28" t="s">
        <v>33</v>
      </c>
      <c r="E49" s="43">
        <f>PEF!C2</f>
        <v>1365593623.3683286</v>
      </c>
      <c r="F49" s="28" t="s">
        <v>34</v>
      </c>
    </row>
    <row r="50" spans="1:6" x14ac:dyDescent="0.2">
      <c r="A50" s="28" t="s">
        <v>160</v>
      </c>
      <c r="B50" s="55">
        <v>1.752</v>
      </c>
      <c r="C50" s="28" t="s">
        <v>203</v>
      </c>
      <c r="D50" s="28" t="s">
        <v>102</v>
      </c>
      <c r="E50" s="329">
        <f>B22</f>
        <v>226.025409</v>
      </c>
      <c r="F50" s="28" t="s">
        <v>103</v>
      </c>
    </row>
    <row r="51" spans="1:6" x14ac:dyDescent="0.2">
      <c r="A51" s="28" t="s">
        <v>161</v>
      </c>
      <c r="B51" s="55">
        <v>16.399999999999999</v>
      </c>
      <c r="C51" s="28" t="s">
        <v>203</v>
      </c>
      <c r="D51" s="28" t="s">
        <v>100</v>
      </c>
      <c r="E51" s="207">
        <v>27.027027027027</v>
      </c>
      <c r="F51" s="28" t="s">
        <v>101</v>
      </c>
    </row>
    <row r="52" spans="1:6" x14ac:dyDescent="0.2">
      <c r="A52" s="28" t="s">
        <v>147</v>
      </c>
      <c r="B52" s="55">
        <v>49</v>
      </c>
      <c r="C52" s="28" t="s">
        <v>24</v>
      </c>
      <c r="D52" s="28" t="s">
        <v>104</v>
      </c>
      <c r="E52" s="32">
        <f>2.8*(10^(-15))</f>
        <v>2.8000000000000001E-15</v>
      </c>
    </row>
    <row r="53" spans="1:6" x14ac:dyDescent="0.2">
      <c r="A53" s="28" t="s">
        <v>146</v>
      </c>
      <c r="B53" s="55">
        <v>16</v>
      </c>
      <c r="C53" s="28" t="s">
        <v>24</v>
      </c>
    </row>
    <row r="54" spans="1:6" x14ac:dyDescent="0.2">
      <c r="A54" s="28" t="s">
        <v>163</v>
      </c>
      <c r="B54" s="55">
        <v>0.77</v>
      </c>
      <c r="C54" s="28"/>
      <c r="F54" s="31" t="s">
        <v>194</v>
      </c>
    </row>
    <row r="55" spans="1:6" x14ac:dyDescent="0.2">
      <c r="A55" s="28" t="s">
        <v>164</v>
      </c>
      <c r="B55" s="55">
        <v>0.23</v>
      </c>
      <c r="C55" s="28"/>
      <c r="F55" s="31" t="s">
        <v>95</v>
      </c>
    </row>
    <row r="56" spans="1:6" ht="15" x14ac:dyDescent="0.2">
      <c r="A56" s="369" t="s">
        <v>180</v>
      </c>
      <c r="B56" s="369"/>
      <c r="C56" s="369"/>
      <c r="F56" s="31" t="s">
        <v>96</v>
      </c>
    </row>
    <row r="57" spans="1:6" x14ac:dyDescent="0.2">
      <c r="A57" s="40" t="s">
        <v>133</v>
      </c>
      <c r="B57" s="166">
        <v>250</v>
      </c>
      <c r="C57" s="40" t="s">
        <v>202</v>
      </c>
      <c r="F57" s="31" t="s">
        <v>97</v>
      </c>
    </row>
    <row r="58" spans="1:6" x14ac:dyDescent="0.2">
      <c r="A58" s="40" t="s">
        <v>122</v>
      </c>
      <c r="B58" s="42">
        <v>8</v>
      </c>
      <c r="C58" s="40" t="s">
        <v>203</v>
      </c>
    </row>
    <row r="59" spans="1:6" x14ac:dyDescent="0.2">
      <c r="A59" s="40" t="s">
        <v>185</v>
      </c>
      <c r="B59" s="42">
        <v>4</v>
      </c>
      <c r="C59" s="40" t="s">
        <v>203</v>
      </c>
    </row>
    <row r="60" spans="1:6" x14ac:dyDescent="0.2">
      <c r="A60" s="40" t="s">
        <v>186</v>
      </c>
      <c r="B60" s="42">
        <v>4</v>
      </c>
      <c r="C60" s="40" t="s">
        <v>203</v>
      </c>
    </row>
    <row r="61" spans="1:6" x14ac:dyDescent="0.2">
      <c r="A61" s="40" t="s">
        <v>135</v>
      </c>
      <c r="B61" s="42">
        <v>1</v>
      </c>
      <c r="C61" s="40" t="s">
        <v>10</v>
      </c>
    </row>
    <row r="62" spans="1:6" x14ac:dyDescent="0.2">
      <c r="A62" s="40" t="s">
        <v>136</v>
      </c>
      <c r="B62" s="42">
        <v>49</v>
      </c>
      <c r="C62" s="40" t="s">
        <v>120</v>
      </c>
    </row>
    <row r="63" spans="1:6" x14ac:dyDescent="0.2">
      <c r="A63" s="40" t="s">
        <v>134</v>
      </c>
      <c r="B63" s="42">
        <v>2.5</v>
      </c>
      <c r="C63" s="40" t="s">
        <v>121</v>
      </c>
    </row>
    <row r="64" spans="1:6" x14ac:dyDescent="0.2">
      <c r="A64" s="40" t="s">
        <v>137</v>
      </c>
      <c r="B64" s="42">
        <v>2</v>
      </c>
      <c r="C64" s="40" t="s">
        <v>204</v>
      </c>
    </row>
    <row r="65" spans="1:3" ht="15" x14ac:dyDescent="0.2">
      <c r="A65" s="370" t="s">
        <v>181</v>
      </c>
      <c r="B65" s="370"/>
      <c r="C65" s="370"/>
    </row>
    <row r="66" spans="1:3" x14ac:dyDescent="0.2">
      <c r="A66" s="40" t="s">
        <v>128</v>
      </c>
      <c r="B66" s="166">
        <v>225</v>
      </c>
      <c r="C66" s="40" t="s">
        <v>202</v>
      </c>
    </row>
    <row r="67" spans="1:3" x14ac:dyDescent="0.2">
      <c r="A67" s="40" t="s">
        <v>122</v>
      </c>
      <c r="B67" s="42">
        <v>8</v>
      </c>
      <c r="C67" s="40" t="s">
        <v>203</v>
      </c>
    </row>
    <row r="68" spans="1:3" x14ac:dyDescent="0.2">
      <c r="A68" s="40" t="s">
        <v>183</v>
      </c>
      <c r="B68" s="42">
        <v>4</v>
      </c>
      <c r="C68" s="40" t="s">
        <v>203</v>
      </c>
    </row>
    <row r="69" spans="1:3" x14ac:dyDescent="0.2">
      <c r="A69" s="40" t="s">
        <v>184</v>
      </c>
      <c r="B69" s="42">
        <v>4</v>
      </c>
      <c r="C69" s="40" t="s">
        <v>203</v>
      </c>
    </row>
    <row r="70" spans="1:3" x14ac:dyDescent="0.2">
      <c r="A70" s="40" t="s">
        <v>129</v>
      </c>
      <c r="B70" s="42">
        <v>1</v>
      </c>
      <c r="C70" s="40" t="s">
        <v>10</v>
      </c>
    </row>
    <row r="71" spans="1:3" x14ac:dyDescent="0.2">
      <c r="A71" s="40" t="s">
        <v>130</v>
      </c>
      <c r="B71" s="42">
        <v>49</v>
      </c>
      <c r="C71" s="40" t="s">
        <v>120</v>
      </c>
    </row>
    <row r="72" spans="1:3" x14ac:dyDescent="0.2">
      <c r="A72" s="40" t="s">
        <v>127</v>
      </c>
      <c r="B72" s="42">
        <v>2.5</v>
      </c>
      <c r="C72" s="40" t="s">
        <v>121</v>
      </c>
    </row>
    <row r="73" spans="1:3" x14ac:dyDescent="0.2">
      <c r="A73" s="40" t="s">
        <v>131</v>
      </c>
      <c r="B73" s="42">
        <v>2</v>
      </c>
      <c r="C73" s="40" t="s">
        <v>204</v>
      </c>
    </row>
    <row r="74" spans="1:3" ht="15" x14ac:dyDescent="0.2">
      <c r="A74" s="371" t="s">
        <v>182</v>
      </c>
      <c r="B74" s="371"/>
      <c r="C74" s="371"/>
    </row>
    <row r="75" spans="1:3" x14ac:dyDescent="0.2">
      <c r="A75" s="40" t="s">
        <v>13</v>
      </c>
      <c r="B75" s="166">
        <v>250</v>
      </c>
      <c r="C75" s="40" t="s">
        <v>202</v>
      </c>
    </row>
    <row r="76" spans="1:3" x14ac:dyDescent="0.2">
      <c r="A76" s="40" t="s">
        <v>122</v>
      </c>
      <c r="B76" s="42">
        <v>8</v>
      </c>
      <c r="C76" s="40" t="s">
        <v>203</v>
      </c>
    </row>
    <row r="77" spans="1:3" x14ac:dyDescent="0.2">
      <c r="A77" s="40" t="s">
        <v>123</v>
      </c>
      <c r="B77" s="42">
        <v>4</v>
      </c>
      <c r="C77" s="40" t="s">
        <v>203</v>
      </c>
    </row>
    <row r="78" spans="1:3" x14ac:dyDescent="0.2">
      <c r="A78" s="40" t="s">
        <v>124</v>
      </c>
      <c r="B78" s="42">
        <v>4</v>
      </c>
      <c r="C78" s="40" t="s">
        <v>203</v>
      </c>
    </row>
    <row r="79" spans="1:3" x14ac:dyDescent="0.2">
      <c r="A79" s="40" t="s">
        <v>15</v>
      </c>
      <c r="B79" s="42">
        <v>1</v>
      </c>
      <c r="C79" s="40" t="s">
        <v>10</v>
      </c>
    </row>
    <row r="80" spans="1:3" x14ac:dyDescent="0.2">
      <c r="A80" s="40" t="s">
        <v>17</v>
      </c>
      <c r="B80" s="42">
        <v>49</v>
      </c>
      <c r="C80" s="40" t="s">
        <v>120</v>
      </c>
    </row>
    <row r="81" spans="1:3" x14ac:dyDescent="0.2">
      <c r="A81" s="40" t="s">
        <v>12</v>
      </c>
      <c r="B81" s="42">
        <v>2.5</v>
      </c>
      <c r="C81" s="40" t="s">
        <v>121</v>
      </c>
    </row>
    <row r="82" spans="1:3" x14ac:dyDescent="0.2">
      <c r="A82" s="40" t="s">
        <v>18</v>
      </c>
      <c r="B82" s="42">
        <v>3</v>
      </c>
      <c r="C82" s="40" t="s">
        <v>204</v>
      </c>
    </row>
    <row r="105" spans="1:1" x14ac:dyDescent="0.2">
      <c r="A105" s="28"/>
    </row>
    <row r="106" spans="1:1" x14ac:dyDescent="0.2">
      <c r="A106" s="28"/>
    </row>
  </sheetData>
  <mergeCells count="10">
    <mergeCell ref="A65:C65"/>
    <mergeCell ref="A74:C74"/>
    <mergeCell ref="D1:F1"/>
    <mergeCell ref="G1:I1"/>
    <mergeCell ref="J1:L1"/>
    <mergeCell ref="M1:O1"/>
    <mergeCell ref="A1:C1"/>
    <mergeCell ref="A2:C5"/>
    <mergeCell ref="A34:C34"/>
    <mergeCell ref="A56:C56"/>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06"/>
  <sheetViews>
    <sheetView zoomScale="80" zoomScaleNormal="80" workbookViewId="0">
      <pane xSplit="3" ySplit="1" topLeftCell="D2" activePane="bottomRight" state="frozen"/>
      <selection pane="topRight" activeCell="D1" sqref="D1"/>
      <selection pane="bottomLeft" activeCell="A2" sqref="A2"/>
      <selection pane="bottomRight" activeCell="K47" sqref="K47"/>
    </sheetView>
  </sheetViews>
  <sheetFormatPr defaultRowHeight="12.75" x14ac:dyDescent="0.2"/>
  <cols>
    <col min="1" max="1" width="13.7109375" bestFit="1" customWidth="1"/>
    <col min="2" max="2" width="9.28515625" bestFit="1" customWidth="1"/>
    <col min="3" max="3" width="21" bestFit="1" customWidth="1"/>
    <col min="4" max="4" width="12.28515625" style="28" bestFit="1" customWidth="1"/>
    <col min="5" max="5" width="12" style="32" bestFit="1" customWidth="1"/>
    <col min="6" max="6" width="20.5703125" style="28" bestFit="1" customWidth="1"/>
    <col min="7" max="7" width="12.28515625" style="28" bestFit="1" customWidth="1"/>
    <col min="8" max="8" width="12" style="32" bestFit="1" customWidth="1"/>
    <col min="9" max="9" width="20.5703125" style="28" bestFit="1" customWidth="1"/>
    <col min="10" max="10" width="12.28515625" style="28" bestFit="1" customWidth="1"/>
    <col min="11" max="11" width="12" style="28" bestFit="1" customWidth="1"/>
    <col min="12" max="12" width="20.5703125" style="28" bestFit="1" customWidth="1"/>
    <col min="13" max="13" width="12.28515625" style="28" bestFit="1" customWidth="1"/>
    <col min="14" max="14" width="12" style="32" bestFit="1" customWidth="1"/>
    <col min="15" max="15" width="20.5703125" style="28" bestFit="1" customWidth="1"/>
  </cols>
  <sheetData>
    <row r="1" spans="1:15" ht="21.75" thickTop="1" thickBot="1" x14ac:dyDescent="0.3">
      <c r="A1" s="396" t="s">
        <v>20</v>
      </c>
      <c r="B1" s="397"/>
      <c r="C1" s="398"/>
      <c r="D1" s="361" t="s">
        <v>171</v>
      </c>
      <c r="E1" s="362"/>
      <c r="F1" s="363"/>
      <c r="G1" s="358" t="s">
        <v>172</v>
      </c>
      <c r="H1" s="359"/>
      <c r="I1" s="360"/>
      <c r="J1" s="355" t="s">
        <v>173</v>
      </c>
      <c r="K1" s="356"/>
      <c r="L1" s="357"/>
      <c r="M1" s="352" t="s">
        <v>174</v>
      </c>
      <c r="N1" s="353"/>
      <c r="O1" s="354"/>
    </row>
    <row r="2" spans="1:15" ht="13.5" customHeight="1" thickTop="1" x14ac:dyDescent="0.2">
      <c r="A2" s="384" t="s">
        <v>112</v>
      </c>
      <c r="B2" s="385"/>
      <c r="C2" s="386"/>
      <c r="D2" s="310" t="s">
        <v>175</v>
      </c>
      <c r="E2" s="311">
        <f>1/((1/E18)+(1/E20))</f>
        <v>9.3971423281310766</v>
      </c>
      <c r="F2" s="286" t="s">
        <v>176</v>
      </c>
      <c r="G2" s="312" t="s">
        <v>175</v>
      </c>
      <c r="H2" s="313">
        <f>1/((1/H18)+(1/H20))</f>
        <v>8.8061031811032588</v>
      </c>
      <c r="I2" s="302" t="s">
        <v>176</v>
      </c>
      <c r="J2" s="314" t="s">
        <v>175</v>
      </c>
      <c r="K2" s="315">
        <f>1/((1/K18)+(1/K20))</f>
        <v>9.7845590901147315</v>
      </c>
      <c r="L2" s="290" t="s">
        <v>176</v>
      </c>
      <c r="M2" s="316" t="s">
        <v>175</v>
      </c>
      <c r="N2" s="317">
        <f>1/((1/N18)+(1/N20))</f>
        <v>8.8061470818777448</v>
      </c>
      <c r="O2" s="282" t="s">
        <v>176</v>
      </c>
    </row>
    <row r="3" spans="1:15" ht="13.5" thickBot="1" x14ac:dyDescent="0.25">
      <c r="A3" s="387"/>
      <c r="B3" s="388"/>
      <c r="C3" s="389"/>
      <c r="D3" s="285" t="s">
        <v>177</v>
      </c>
      <c r="E3" s="297">
        <f>1/((1/E19)+(1/E20))</f>
        <v>278.00558832712113</v>
      </c>
      <c r="F3" s="287" t="s">
        <v>176</v>
      </c>
      <c r="G3" s="300" t="s">
        <v>177</v>
      </c>
      <c r="H3" s="301">
        <f>1/((1/H19)+(1/H20))</f>
        <v>260.5535711427795</v>
      </c>
      <c r="I3" s="303" t="s">
        <v>176</v>
      </c>
      <c r="J3" s="289" t="s">
        <v>177</v>
      </c>
      <c r="K3" s="293">
        <f>1/((1/K19)+(1/K20))</f>
        <v>289.5039679364217</v>
      </c>
      <c r="L3" s="291" t="s">
        <v>176</v>
      </c>
      <c r="M3" s="281" t="s">
        <v>177</v>
      </c>
      <c r="N3" s="295">
        <f>1/((1/N19)+(1/N20))</f>
        <v>260.59200912677494</v>
      </c>
      <c r="O3" s="283" t="s">
        <v>176</v>
      </c>
    </row>
    <row r="4" spans="1:15" x14ac:dyDescent="0.2">
      <c r="A4" s="387"/>
      <c r="B4" s="388"/>
      <c r="C4" s="389"/>
      <c r="D4" s="284" t="s">
        <v>175</v>
      </c>
      <c r="E4" s="296">
        <f>E2/E51</f>
        <v>0.34769426614085019</v>
      </c>
      <c r="F4" s="286" t="s">
        <v>178</v>
      </c>
      <c r="G4" s="298" t="s">
        <v>175</v>
      </c>
      <c r="H4" s="299">
        <f>H2/H41</f>
        <v>0.32582581770082092</v>
      </c>
      <c r="I4" s="302" t="s">
        <v>178</v>
      </c>
      <c r="J4" s="288" t="s">
        <v>175</v>
      </c>
      <c r="K4" s="292">
        <f>K2/K41</f>
        <v>0.36202868633424545</v>
      </c>
      <c r="L4" s="290" t="s">
        <v>178</v>
      </c>
      <c r="M4" s="280" t="s">
        <v>175</v>
      </c>
      <c r="N4" s="294">
        <f>N2/N41</f>
        <v>0.32582744202947689</v>
      </c>
      <c r="O4" s="282" t="s">
        <v>178</v>
      </c>
    </row>
    <row r="5" spans="1:15" ht="13.5" thickBot="1" x14ac:dyDescent="0.25">
      <c r="A5" s="390"/>
      <c r="B5" s="391"/>
      <c r="C5" s="392"/>
      <c r="D5" s="285" t="s">
        <v>177</v>
      </c>
      <c r="E5" s="297">
        <f>E3/E51</f>
        <v>10.286206768103492</v>
      </c>
      <c r="F5" s="287" t="s">
        <v>178</v>
      </c>
      <c r="G5" s="300" t="s">
        <v>177</v>
      </c>
      <c r="H5" s="301">
        <f>H3/H41</f>
        <v>9.6404821322828518</v>
      </c>
      <c r="I5" s="303" t="s">
        <v>178</v>
      </c>
      <c r="J5" s="289" t="s">
        <v>177</v>
      </c>
      <c r="K5" s="293">
        <f>K3/K41</f>
        <v>10.711646813647613</v>
      </c>
      <c r="L5" s="291" t="s">
        <v>178</v>
      </c>
      <c r="M5" s="281" t="s">
        <v>177</v>
      </c>
      <c r="N5" s="295">
        <f>N3/N41</f>
        <v>9.6419043376906828</v>
      </c>
      <c r="O5" s="283" t="s">
        <v>178</v>
      </c>
    </row>
    <row r="6" spans="1:15" ht="13.5" thickTop="1" x14ac:dyDescent="0.2">
      <c r="A6" s="28" t="s">
        <v>21</v>
      </c>
      <c r="B6" s="190">
        <v>1</v>
      </c>
      <c r="C6" s="28" t="s">
        <v>138</v>
      </c>
      <c r="D6" s="284" t="s">
        <v>175</v>
      </c>
      <c r="E6" s="296">
        <f>E2*E13*E50*E52</f>
        <v>6.1194082287504256E-14</v>
      </c>
      <c r="F6" s="286" t="s">
        <v>179</v>
      </c>
      <c r="G6" s="298" t="s">
        <v>175</v>
      </c>
      <c r="H6" s="299">
        <f>H2*H13*H40*H42</f>
        <v>5.734524218958592E-14</v>
      </c>
      <c r="I6" s="302" t="s">
        <v>179</v>
      </c>
      <c r="J6" s="288" t="s">
        <v>175</v>
      </c>
      <c r="K6" s="292">
        <f>K2*K13*K40*K42</f>
        <v>6.371693576620657E-14</v>
      </c>
      <c r="L6" s="290" t="s">
        <v>179</v>
      </c>
      <c r="M6" s="280" t="s">
        <v>175</v>
      </c>
      <c r="N6" s="294">
        <f>N2*N13*N40*N42</f>
        <v>5.7345528070922243E-14</v>
      </c>
      <c r="O6" s="282" t="s">
        <v>179</v>
      </c>
    </row>
    <row r="7" spans="1:15" ht="13.5" thickBot="1" x14ac:dyDescent="0.25">
      <c r="A7" s="38" t="s">
        <v>22</v>
      </c>
      <c r="B7" s="210">
        <v>1.25E-4</v>
      </c>
      <c r="C7" s="40" t="s">
        <v>11</v>
      </c>
      <c r="D7" s="285" t="s">
        <v>177</v>
      </c>
      <c r="E7" s="297">
        <f>E3*E13*E50*E52</f>
        <v>1.8103691797397015E-12</v>
      </c>
      <c r="F7" s="287" t="s">
        <v>179</v>
      </c>
      <c r="G7" s="300" t="s">
        <v>177</v>
      </c>
      <c r="H7" s="301">
        <f>H3*H13*H40*H42</f>
        <v>1.6967218454363229E-12</v>
      </c>
      <c r="I7" s="303" t="s">
        <v>179</v>
      </c>
      <c r="J7" s="289" t="s">
        <v>177</v>
      </c>
      <c r="K7" s="293">
        <f>K3*K13*K40*K42</f>
        <v>1.8852464949292478E-12</v>
      </c>
      <c r="L7" s="291" t="s">
        <v>179</v>
      </c>
      <c r="M7" s="281" t="s">
        <v>177</v>
      </c>
      <c r="N7" s="295">
        <f>N3*N13*N40*N42</f>
        <v>1.6969721531440758E-12</v>
      </c>
      <c r="O7" s="283" t="s">
        <v>179</v>
      </c>
    </row>
    <row r="8" spans="1:15" x14ac:dyDescent="0.2">
      <c r="A8" s="38" t="s">
        <v>209</v>
      </c>
      <c r="B8" s="211">
        <v>3.3799999999999998E-8</v>
      </c>
      <c r="C8" s="38" t="s">
        <v>11</v>
      </c>
      <c r="D8" s="28" t="s">
        <v>21</v>
      </c>
      <c r="E8" s="32">
        <f>B6</f>
        <v>1</v>
      </c>
      <c r="F8" s="28" t="s">
        <v>138</v>
      </c>
      <c r="G8" s="28" t="s">
        <v>21</v>
      </c>
      <c r="H8" s="32">
        <f>B6</f>
        <v>1</v>
      </c>
      <c r="I8" s="28" t="s">
        <v>138</v>
      </c>
      <c r="J8" s="28" t="s">
        <v>21</v>
      </c>
      <c r="K8" s="32">
        <f>B6</f>
        <v>1</v>
      </c>
      <c r="L8" s="28" t="s">
        <v>138</v>
      </c>
      <c r="M8" s="28" t="s">
        <v>21</v>
      </c>
      <c r="N8" s="32">
        <f>B6</f>
        <v>1</v>
      </c>
      <c r="O8" s="28" t="s">
        <v>138</v>
      </c>
    </row>
    <row r="9" spans="1:15" ht="19.5" x14ac:dyDescent="0.35">
      <c r="A9" s="38" t="s">
        <v>210</v>
      </c>
      <c r="B9" s="211">
        <v>0</v>
      </c>
      <c r="C9" s="38" t="s">
        <v>11</v>
      </c>
      <c r="D9" s="54" t="s">
        <v>206</v>
      </c>
      <c r="E9" s="32">
        <f>E38</f>
        <v>1</v>
      </c>
      <c r="G9" s="54" t="s">
        <v>207</v>
      </c>
      <c r="H9" s="32">
        <f>H30</f>
        <v>1</v>
      </c>
      <c r="J9" s="54" t="s">
        <v>208</v>
      </c>
      <c r="K9" s="32">
        <f>K30</f>
        <v>1</v>
      </c>
      <c r="M9" s="54" t="s">
        <v>140</v>
      </c>
      <c r="N9" s="32">
        <f>N30</f>
        <v>1</v>
      </c>
    </row>
    <row r="10" spans="1:15" x14ac:dyDescent="0.2">
      <c r="A10" s="57" t="s">
        <v>113</v>
      </c>
      <c r="B10" s="210">
        <v>2.1295200000000002E-3</v>
      </c>
      <c r="C10" s="38" t="s">
        <v>198</v>
      </c>
      <c r="D10" s="54" t="s">
        <v>65</v>
      </c>
      <c r="E10" s="32">
        <f>B33</f>
        <v>0.38</v>
      </c>
      <c r="G10" s="54" t="s">
        <v>2</v>
      </c>
      <c r="H10" s="32">
        <f>B33</f>
        <v>0.38</v>
      </c>
      <c r="J10" s="54" t="s">
        <v>2</v>
      </c>
      <c r="K10" s="32">
        <f>B33</f>
        <v>0.38</v>
      </c>
      <c r="M10" s="54" t="s">
        <v>2</v>
      </c>
      <c r="N10" s="32">
        <f>B33</f>
        <v>0.38</v>
      </c>
    </row>
    <row r="11" spans="1:15" x14ac:dyDescent="0.2">
      <c r="A11" s="57" t="s">
        <v>23</v>
      </c>
      <c r="B11" s="211">
        <v>4.3486799999999998E-4</v>
      </c>
      <c r="C11" s="38" t="s">
        <v>199</v>
      </c>
      <c r="D11" s="54" t="s">
        <v>1</v>
      </c>
      <c r="E11" s="51">
        <f>0.693/E13</f>
        <v>66.155354824913829</v>
      </c>
      <c r="F11" s="54"/>
      <c r="G11" s="54" t="s">
        <v>1</v>
      </c>
      <c r="H11" s="51">
        <f>0.693/H13</f>
        <v>66.155354824913829</v>
      </c>
      <c r="J11" s="54" t="s">
        <v>1</v>
      </c>
      <c r="K11" s="51">
        <f>0.693/K13</f>
        <v>66.155354824913829</v>
      </c>
      <c r="L11" s="54"/>
      <c r="M11" s="54" t="s">
        <v>1</v>
      </c>
      <c r="N11" s="51">
        <f>0.693/N13</f>
        <v>66.155354824913829</v>
      </c>
      <c r="O11" s="54"/>
    </row>
    <row r="12" spans="1:15" x14ac:dyDescent="0.2">
      <c r="A12" s="57" t="s">
        <v>114</v>
      </c>
      <c r="B12" s="211">
        <v>4.4084799999999998E-4</v>
      </c>
      <c r="C12" s="38" t="s">
        <v>198</v>
      </c>
      <c r="D12" s="28" t="s">
        <v>126</v>
      </c>
      <c r="E12" s="51">
        <f>(1-EXP(-E11*E9))</f>
        <v>1</v>
      </c>
      <c r="G12" s="28" t="s">
        <v>126</v>
      </c>
      <c r="H12" s="51">
        <f>(1-EXP(-H11*H9))</f>
        <v>1</v>
      </c>
      <c r="J12" s="28" t="s">
        <v>126</v>
      </c>
      <c r="K12" s="51">
        <f>(1-EXP(-K11*K9))</f>
        <v>1</v>
      </c>
      <c r="M12" s="28" t="s">
        <v>126</v>
      </c>
      <c r="N12" s="51">
        <f>(1-EXP(-N11*N9))</f>
        <v>1</v>
      </c>
    </row>
    <row r="13" spans="1:15" x14ac:dyDescent="0.2">
      <c r="A13" s="57" t="s">
        <v>115</v>
      </c>
      <c r="B13" s="211">
        <v>1.2571640000000001E-3</v>
      </c>
      <c r="C13" s="38" t="s">
        <v>198</v>
      </c>
      <c r="D13" s="33" t="s">
        <v>9</v>
      </c>
      <c r="E13" s="53">
        <f>B16</f>
        <v>1.04753425E-2</v>
      </c>
      <c r="F13" s="54" t="s">
        <v>10</v>
      </c>
      <c r="G13" s="33" t="s">
        <v>9</v>
      </c>
      <c r="H13" s="53">
        <f>B16</f>
        <v>1.04753425E-2</v>
      </c>
      <c r="J13" s="33" t="s">
        <v>9</v>
      </c>
      <c r="K13" s="53">
        <f>B16</f>
        <v>1.04753425E-2</v>
      </c>
      <c r="L13" s="54"/>
      <c r="M13" s="33" t="s">
        <v>9</v>
      </c>
      <c r="N13" s="53">
        <f>B16</f>
        <v>1.04753425E-2</v>
      </c>
      <c r="O13" s="54"/>
    </row>
    <row r="14" spans="1:15" x14ac:dyDescent="0.2">
      <c r="A14" s="57" t="s">
        <v>116</v>
      </c>
      <c r="B14" s="211">
        <v>1.94272E-3</v>
      </c>
      <c r="C14" s="38" t="s">
        <v>198</v>
      </c>
      <c r="D14" s="38" t="s">
        <v>209</v>
      </c>
      <c r="E14" s="53">
        <f>B8</f>
        <v>3.3799999999999998E-8</v>
      </c>
      <c r="F14" s="54" t="s">
        <v>11</v>
      </c>
      <c r="G14" s="38" t="s">
        <v>210</v>
      </c>
      <c r="H14" s="53">
        <f>B9</f>
        <v>0</v>
      </c>
      <c r="I14" s="28" t="s">
        <v>11</v>
      </c>
      <c r="J14" s="38" t="s">
        <v>210</v>
      </c>
      <c r="K14" s="53">
        <f>B9</f>
        <v>0</v>
      </c>
      <c r="L14" s="54" t="s">
        <v>11</v>
      </c>
      <c r="M14" s="38" t="s">
        <v>210</v>
      </c>
      <c r="N14" s="53">
        <f>B9</f>
        <v>0</v>
      </c>
      <c r="O14" s="54" t="s">
        <v>11</v>
      </c>
    </row>
    <row r="15" spans="1:15" x14ac:dyDescent="0.2">
      <c r="A15" s="57" t="s">
        <v>117</v>
      </c>
      <c r="B15" s="211">
        <v>3.2316400000000001</v>
      </c>
      <c r="C15" s="38" t="s">
        <v>200</v>
      </c>
      <c r="D15" s="54" t="s">
        <v>22</v>
      </c>
      <c r="E15" s="53">
        <f>B7</f>
        <v>1.25E-4</v>
      </c>
      <c r="F15" s="54" t="s">
        <v>201</v>
      </c>
      <c r="G15" s="54" t="s">
        <v>22</v>
      </c>
      <c r="H15" s="53">
        <f>B7</f>
        <v>1.25E-4</v>
      </c>
      <c r="I15" s="28" t="s">
        <v>201</v>
      </c>
      <c r="J15" s="54" t="s">
        <v>22</v>
      </c>
      <c r="K15" s="53">
        <f>B7</f>
        <v>1.25E-4</v>
      </c>
      <c r="L15" s="54" t="s">
        <v>201</v>
      </c>
      <c r="M15" s="54" t="s">
        <v>22</v>
      </c>
      <c r="N15" s="53">
        <f>B7</f>
        <v>1.25E-4</v>
      </c>
      <c r="O15" s="54" t="s">
        <v>201</v>
      </c>
    </row>
    <row r="16" spans="1:15" x14ac:dyDescent="0.2">
      <c r="A16" s="59" t="s">
        <v>9</v>
      </c>
      <c r="B16" s="211">
        <v>1.04753425E-2</v>
      </c>
      <c r="C16" s="39" t="s">
        <v>118</v>
      </c>
      <c r="D16" s="54" t="s">
        <v>23</v>
      </c>
      <c r="E16" s="53">
        <f>B11</f>
        <v>4.3486799999999998E-4</v>
      </c>
      <c r="F16" s="54" t="s">
        <v>198</v>
      </c>
      <c r="G16" s="54" t="s">
        <v>23</v>
      </c>
      <c r="H16" s="53">
        <f>B11</f>
        <v>4.3486799999999998E-4</v>
      </c>
      <c r="I16" s="28" t="s">
        <v>201</v>
      </c>
      <c r="J16" s="54" t="s">
        <v>23</v>
      </c>
      <c r="K16" s="53">
        <f>B11</f>
        <v>4.3486799999999998E-4</v>
      </c>
      <c r="L16" s="54" t="s">
        <v>201</v>
      </c>
      <c r="M16" s="54" t="s">
        <v>23</v>
      </c>
      <c r="N16" s="53">
        <f>B11</f>
        <v>4.3486799999999998E-4</v>
      </c>
      <c r="O16" s="54" t="s">
        <v>201</v>
      </c>
    </row>
    <row r="17" spans="1:15" x14ac:dyDescent="0.2">
      <c r="A17" s="38" t="s">
        <v>141</v>
      </c>
      <c r="B17" s="328">
        <v>0.75568181818181801</v>
      </c>
      <c r="C17" s="40"/>
      <c r="D17" s="28" t="s">
        <v>92</v>
      </c>
      <c r="E17" s="47">
        <f>(E8*E9*E11)/(((1-EXP(-E10*E9))/(E10*E9))*E12*E14*E22)</f>
        <v>59877.175274587964</v>
      </c>
      <c r="F17" s="28" t="s">
        <v>94</v>
      </c>
      <c r="G17" s="28" t="s">
        <v>92</v>
      </c>
      <c r="H17" s="47" t="e">
        <f>(H8*H9*H11)/(((1-EXP(-H10*H9))/(H10*H9))*H12*H14*H22*H28)</f>
        <v>#DIV/0!</v>
      </c>
      <c r="I17" s="28" t="s">
        <v>94</v>
      </c>
      <c r="J17" s="28" t="s">
        <v>92</v>
      </c>
      <c r="K17" s="47" t="e">
        <f>(K8*K9*K11)/(((1-EXP(-K10*K9))/(K10*K9))*K12*K14*K22*K28)</f>
        <v>#DIV/0!</v>
      </c>
      <c r="L17" s="28" t="s">
        <v>94</v>
      </c>
      <c r="M17" s="28" t="s">
        <v>92</v>
      </c>
      <c r="N17" s="47" t="e">
        <f>(N8*N9*N11)/(((1-EXP(-N10*N9))/(N10*N9))*N12*N14*N22*N28)</f>
        <v>#DIV/0!</v>
      </c>
      <c r="O17" s="28" t="s">
        <v>94</v>
      </c>
    </row>
    <row r="18" spans="1:15" x14ac:dyDescent="0.2">
      <c r="A18" s="38" t="s">
        <v>142</v>
      </c>
      <c r="B18" s="328">
        <v>0.46277665995975897</v>
      </c>
      <c r="C18" s="40"/>
      <c r="D18" s="28" t="s">
        <v>166</v>
      </c>
      <c r="E18" s="46">
        <f>(E8*E9*E11)/(((1-EXP(-E10*E9))/(E10*E9))*E12*E15*E23*(1/E48)*E47*(E41+E42)*(1/24))</f>
        <v>9.397263525173198</v>
      </c>
      <c r="F18" s="28" t="s">
        <v>94</v>
      </c>
      <c r="G18" s="28" t="s">
        <v>166</v>
      </c>
      <c r="H18" s="46">
        <f>(H8*H9*H11)/(((1-EXP(-H10*H9))/(H10*H9))*H12*H15*H29*H25*H28*(1/H38)*H37)</f>
        <v>8.8061763493039127</v>
      </c>
      <c r="I18" s="28" t="s">
        <v>94</v>
      </c>
      <c r="J18" s="28" t="s">
        <v>166</v>
      </c>
      <c r="K18" s="46">
        <f>(K8*K9*K11)/(((1-EXP(-K10*K9))/(K10*K9))*K12*K15*K29*K25*K28*(1/K38)*K37)</f>
        <v>9.7846403881154576</v>
      </c>
      <c r="L18" s="28" t="s">
        <v>94</v>
      </c>
      <c r="M18" s="28" t="s">
        <v>166</v>
      </c>
      <c r="N18" s="46">
        <f>(N8*N9*N11)/(((1-EXP(-N10*N9))/(N10*N9))*N12*N15*N29*N25*N28*(1/N38)*N37)</f>
        <v>8.8061763493039127</v>
      </c>
      <c r="O18" s="28" t="s">
        <v>94</v>
      </c>
    </row>
    <row r="19" spans="1:15" x14ac:dyDescent="0.2">
      <c r="A19" s="38" t="s">
        <v>143</v>
      </c>
      <c r="B19" s="328">
        <v>0.64968152866242002</v>
      </c>
      <c r="C19" s="40"/>
      <c r="D19" s="28" t="s">
        <v>165</v>
      </c>
      <c r="E19" s="46">
        <f>(E8*E9*E11)/(((1-EXP(-E10*E9))/(E10*E9))*E12*E15*E23*(1/E49)*E47*(E41+E42)*(1/24))</f>
        <v>278.11170108393782</v>
      </c>
      <c r="F19" s="28" t="s">
        <v>94</v>
      </c>
      <c r="G19" s="28" t="s">
        <v>165</v>
      </c>
      <c r="H19" s="46">
        <f>(H8*H9*H11)/(((1-EXP(-H10*H9))/(H10*H9))*H12*H15*H29*H25*H28*(1/H39)*H37)</f>
        <v>260.61764075065474</v>
      </c>
      <c r="I19" s="28" t="s">
        <v>94</v>
      </c>
      <c r="J19" s="28" t="s">
        <v>165</v>
      </c>
      <c r="K19" s="46">
        <f>(K8*K9*K11)/(((1-EXP(-K10*K9))/(K10*K9))*K12*K15*K29*K25*K28*(1/K39)*K37)</f>
        <v>289.57515638961644</v>
      </c>
      <c r="L19" s="28" t="s">
        <v>94</v>
      </c>
      <c r="M19" s="28" t="s">
        <v>165</v>
      </c>
      <c r="N19" s="46">
        <f>(N8*N9*N11)/(((1-EXP(-N10*N9))/(N10*N9))*N12*N15*N29*N25*N28*(1/N39)*N37)</f>
        <v>260.61764075065474</v>
      </c>
      <c r="O19" s="28" t="s">
        <v>94</v>
      </c>
    </row>
    <row r="20" spans="1:15" x14ac:dyDescent="0.2">
      <c r="A20" s="38" t="s">
        <v>144</v>
      </c>
      <c r="B20" s="328">
        <v>0.72251308900523603</v>
      </c>
      <c r="D20" s="28" t="s">
        <v>93</v>
      </c>
      <c r="E20" s="45">
        <f>(E8*E9*E11)/(((1-EXP(-E10*E9))/(E10*E9))*E12*E16*E39*E40*E28*(1/365)*E46*((E41*E44)+(E42*E45))*(1/24))</f>
        <v>728626.88144163752</v>
      </c>
      <c r="F20" s="28" t="s">
        <v>94</v>
      </c>
      <c r="G20" s="28" t="s">
        <v>93</v>
      </c>
      <c r="H20" s="45">
        <f>(H8*H9*H11)/(((1-EXP(-H10*H9))/(H10*H9))*H12*H16*H31*H32*H36*H28*(1/365)*H34*H25*(1/24))</f>
        <v>1059860.6617450062</v>
      </c>
      <c r="I20" s="28" t="s">
        <v>94</v>
      </c>
      <c r="J20" s="28" t="s">
        <v>93</v>
      </c>
      <c r="K20" s="45">
        <f>(K8*K9*K11)/(((1-EXP(-K10*K9))/(K10*K9))*K12*K16*K31*K32*K36*K28*(1/365)*K34*K25*(1/24))</f>
        <v>1177622.9574944512</v>
      </c>
      <c r="L20" s="28" t="s">
        <v>94</v>
      </c>
      <c r="M20" s="28" t="s">
        <v>93</v>
      </c>
      <c r="N20" s="45">
        <f>(N8*N9*N11)/(((1-EXP(-N10*N9))/(N10*N9))*N12*N16*N31*N32*N36*N28*(1/365)*N35*N25*(1/24))</f>
        <v>2649651.6543625155</v>
      </c>
      <c r="O20" s="28" t="s">
        <v>94</v>
      </c>
    </row>
    <row r="21" spans="1:15" x14ac:dyDescent="0.2">
      <c r="A21" s="38" t="s">
        <v>145</v>
      </c>
      <c r="B21" s="328">
        <v>0.70094339622641499</v>
      </c>
    </row>
    <row r="22" spans="1:15" x14ac:dyDescent="0.2">
      <c r="A22" s="58" t="s">
        <v>102</v>
      </c>
      <c r="B22" s="209">
        <v>222.01757699999999</v>
      </c>
      <c r="C22" s="40" t="s">
        <v>103</v>
      </c>
      <c r="D22" s="60" t="s">
        <v>220</v>
      </c>
      <c r="E22" s="61">
        <f>(E24*E27*E29*E25*E31*E33*E35)+(E24*E26*E28*E25*E32*E30*E34)</f>
        <v>39291</v>
      </c>
      <c r="F22" s="62" t="s">
        <v>24</v>
      </c>
      <c r="G22" s="60" t="s">
        <v>217</v>
      </c>
      <c r="H22" s="71">
        <f>H23*H25*H24*H26*H27</f>
        <v>196</v>
      </c>
      <c r="I22" s="62" t="s">
        <v>24</v>
      </c>
      <c r="J22" s="60" t="s">
        <v>218</v>
      </c>
      <c r="K22" s="71">
        <f>K23*K25*K24*K26*K27</f>
        <v>196</v>
      </c>
      <c r="L22" s="62" t="s">
        <v>24</v>
      </c>
      <c r="M22" s="60" t="s">
        <v>219</v>
      </c>
      <c r="N22" s="71">
        <f>N23*N25*N24*N26*N27</f>
        <v>294</v>
      </c>
      <c r="O22" s="62" t="s">
        <v>24</v>
      </c>
    </row>
    <row r="23" spans="1:15" x14ac:dyDescent="0.2">
      <c r="A23" t="s">
        <v>90</v>
      </c>
      <c r="B23" s="188">
        <v>1.169</v>
      </c>
      <c r="D23" s="63" t="s">
        <v>221</v>
      </c>
      <c r="E23" s="64">
        <f>(E37*E29*E31)+(E36*E28*E30)</f>
        <v>6195</v>
      </c>
      <c r="F23" s="65" t="s">
        <v>25</v>
      </c>
      <c r="G23" s="63" t="s">
        <v>162</v>
      </c>
      <c r="H23" s="66">
        <f>B27</f>
        <v>0.5</v>
      </c>
      <c r="I23" s="65"/>
      <c r="J23" s="63" t="s">
        <v>162</v>
      </c>
      <c r="K23" s="66">
        <f>B27</f>
        <v>0.5</v>
      </c>
      <c r="L23" s="65"/>
      <c r="M23" s="63" t="s">
        <v>162</v>
      </c>
      <c r="N23" s="66">
        <f>B27</f>
        <v>0.5</v>
      </c>
      <c r="O23" s="65"/>
    </row>
    <row r="24" spans="1:15" x14ac:dyDescent="0.2">
      <c r="A24" s="28" t="s">
        <v>139</v>
      </c>
      <c r="B24" s="55">
        <v>1</v>
      </c>
      <c r="D24" s="63" t="s">
        <v>162</v>
      </c>
      <c r="E24" s="66">
        <f>B27</f>
        <v>0.5</v>
      </c>
      <c r="F24" s="65"/>
      <c r="G24" s="63" t="s">
        <v>119</v>
      </c>
      <c r="H24" s="66">
        <f>B28</f>
        <v>0.5</v>
      </c>
      <c r="I24" s="65"/>
      <c r="J24" s="63" t="s">
        <v>119</v>
      </c>
      <c r="K24" s="66">
        <f>B28</f>
        <v>0.5</v>
      </c>
      <c r="L24" s="65"/>
      <c r="M24" s="63" t="s">
        <v>119</v>
      </c>
      <c r="N24" s="66">
        <f>B28</f>
        <v>0.5</v>
      </c>
      <c r="O24" s="65"/>
    </row>
    <row r="25" spans="1:15" x14ac:dyDescent="0.2">
      <c r="A25" s="28" t="s">
        <v>3</v>
      </c>
      <c r="B25" s="55">
        <v>1</v>
      </c>
      <c r="C25" s="37"/>
      <c r="D25" s="63" t="s">
        <v>119</v>
      </c>
      <c r="E25" s="66">
        <f>B28</f>
        <v>0.5</v>
      </c>
      <c r="F25" s="65"/>
      <c r="G25" s="63" t="s">
        <v>122</v>
      </c>
      <c r="H25" s="66">
        <f>B58</f>
        <v>8</v>
      </c>
      <c r="I25" s="65" t="s">
        <v>203</v>
      </c>
      <c r="J25" s="63" t="s">
        <v>132</v>
      </c>
      <c r="K25" s="66">
        <f>B67</f>
        <v>8</v>
      </c>
      <c r="L25" s="65" t="s">
        <v>203</v>
      </c>
      <c r="M25" s="63" t="s">
        <v>14</v>
      </c>
      <c r="N25" s="66">
        <f>B76</f>
        <v>8</v>
      </c>
      <c r="O25" s="65" t="s">
        <v>203</v>
      </c>
    </row>
    <row r="26" spans="1:15" x14ac:dyDescent="0.2">
      <c r="A26" s="28" t="s">
        <v>27</v>
      </c>
      <c r="B26" s="55">
        <v>1</v>
      </c>
      <c r="C26" s="37"/>
      <c r="D26" s="67" t="s">
        <v>159</v>
      </c>
      <c r="E26" s="66">
        <f>B40</f>
        <v>4</v>
      </c>
      <c r="F26" s="65" t="s">
        <v>203</v>
      </c>
      <c r="G26" s="63" t="s">
        <v>136</v>
      </c>
      <c r="H26" s="66">
        <f>B62</f>
        <v>49</v>
      </c>
      <c r="I26" s="65" t="s">
        <v>24</v>
      </c>
      <c r="J26" s="63" t="s">
        <v>130</v>
      </c>
      <c r="K26" s="66">
        <f>B71</f>
        <v>49</v>
      </c>
      <c r="L26" s="65" t="s">
        <v>24</v>
      </c>
      <c r="M26" s="63" t="s">
        <v>17</v>
      </c>
      <c r="N26" s="66">
        <f>B80</f>
        <v>49</v>
      </c>
      <c r="O26" s="65" t="s">
        <v>24</v>
      </c>
    </row>
    <row r="27" spans="1:15" x14ac:dyDescent="0.2">
      <c r="A27" s="28" t="s">
        <v>162</v>
      </c>
      <c r="B27" s="55">
        <v>0.5</v>
      </c>
      <c r="C27" s="37"/>
      <c r="D27" s="67" t="s">
        <v>158</v>
      </c>
      <c r="E27" s="66">
        <f>B39</f>
        <v>4</v>
      </c>
      <c r="F27" s="65" t="s">
        <v>203</v>
      </c>
      <c r="G27" s="68" t="s">
        <v>137</v>
      </c>
      <c r="H27" s="69">
        <f>B64</f>
        <v>2</v>
      </c>
      <c r="I27" s="70" t="s">
        <v>204</v>
      </c>
      <c r="J27" s="68" t="s">
        <v>131</v>
      </c>
      <c r="K27" s="69">
        <f>B73</f>
        <v>2</v>
      </c>
      <c r="L27" s="70" t="s">
        <v>204</v>
      </c>
      <c r="M27" s="68" t="s">
        <v>18</v>
      </c>
      <c r="N27" s="69">
        <f>B82</f>
        <v>3</v>
      </c>
      <c r="O27" s="70" t="s">
        <v>204</v>
      </c>
    </row>
    <row r="28" spans="1:15" x14ac:dyDescent="0.2">
      <c r="A28" s="28" t="s">
        <v>119</v>
      </c>
      <c r="B28" s="55">
        <v>0.5</v>
      </c>
      <c r="C28" s="40"/>
      <c r="D28" s="67" t="s">
        <v>157</v>
      </c>
      <c r="E28" s="66">
        <f>B37</f>
        <v>350</v>
      </c>
      <c r="F28" s="65" t="s">
        <v>202</v>
      </c>
      <c r="G28" s="63" t="s">
        <v>133</v>
      </c>
      <c r="H28" s="66">
        <f>B57</f>
        <v>250</v>
      </c>
      <c r="I28" s="74" t="s">
        <v>202</v>
      </c>
      <c r="J28" s="74" t="s">
        <v>128</v>
      </c>
      <c r="K28" s="66">
        <f>B66</f>
        <v>225</v>
      </c>
      <c r="L28" s="74" t="s">
        <v>202</v>
      </c>
      <c r="M28" s="74" t="s">
        <v>13</v>
      </c>
      <c r="N28" s="66">
        <f>B75</f>
        <v>250</v>
      </c>
      <c r="O28" s="74" t="s">
        <v>202</v>
      </c>
    </row>
    <row r="29" spans="1:15" x14ac:dyDescent="0.2">
      <c r="A29" s="28" t="s">
        <v>29</v>
      </c>
      <c r="B29" s="55">
        <v>0.4</v>
      </c>
      <c r="C29" s="28"/>
      <c r="D29" s="67" t="s">
        <v>156</v>
      </c>
      <c r="E29" s="66">
        <f>B36</f>
        <v>350</v>
      </c>
      <c r="F29" s="65" t="s">
        <v>202</v>
      </c>
      <c r="G29" s="63" t="s">
        <v>134</v>
      </c>
      <c r="H29" s="66">
        <f>B63</f>
        <v>2.5</v>
      </c>
      <c r="I29" s="74" t="s">
        <v>26</v>
      </c>
      <c r="J29" s="74" t="s">
        <v>127</v>
      </c>
      <c r="K29" s="66">
        <v>2.5</v>
      </c>
      <c r="L29" s="74" t="s">
        <v>26</v>
      </c>
      <c r="M29" s="74" t="s">
        <v>12</v>
      </c>
      <c r="N29" s="66">
        <f>B81</f>
        <v>2.5</v>
      </c>
      <c r="O29" s="74" t="s">
        <v>26</v>
      </c>
    </row>
    <row r="30" spans="1:15" x14ac:dyDescent="0.2">
      <c r="A30" s="54" t="s">
        <v>99</v>
      </c>
      <c r="B30" s="55">
        <v>1</v>
      </c>
      <c r="C30" s="28"/>
      <c r="D30" s="63" t="s">
        <v>163</v>
      </c>
      <c r="E30" s="66">
        <f>B54</f>
        <v>0.77</v>
      </c>
      <c r="F30" s="65"/>
      <c r="G30" s="28" t="s">
        <v>135</v>
      </c>
      <c r="H30" s="32">
        <f>B61</f>
        <v>1</v>
      </c>
      <c r="I30" s="28" t="s">
        <v>205</v>
      </c>
      <c r="J30" s="28" t="s">
        <v>129</v>
      </c>
      <c r="K30" s="32">
        <f>B70</f>
        <v>1</v>
      </c>
      <c r="L30" s="28" t="s">
        <v>205</v>
      </c>
      <c r="M30" s="28" t="s">
        <v>15</v>
      </c>
      <c r="N30" s="32">
        <f>B79</f>
        <v>1</v>
      </c>
      <c r="O30" s="28" t="s">
        <v>205</v>
      </c>
    </row>
    <row r="31" spans="1:15" x14ac:dyDescent="0.2">
      <c r="A31" s="54" t="s">
        <v>16</v>
      </c>
      <c r="B31" s="55">
        <v>0.4</v>
      </c>
      <c r="C31" s="28"/>
      <c r="D31" s="63" t="s">
        <v>164</v>
      </c>
      <c r="E31" s="66">
        <f>B55</f>
        <v>0.23</v>
      </c>
      <c r="F31" s="65"/>
      <c r="G31" s="28" t="s">
        <v>3</v>
      </c>
      <c r="H31" s="32">
        <f>B25</f>
        <v>1</v>
      </c>
      <c r="J31" s="28" t="s">
        <v>3</v>
      </c>
      <c r="K31" s="32">
        <f>B25</f>
        <v>1</v>
      </c>
      <c r="M31" s="28" t="s">
        <v>3</v>
      </c>
      <c r="N31" s="32">
        <f>B25</f>
        <v>1</v>
      </c>
    </row>
    <row r="32" spans="1:15" x14ac:dyDescent="0.2">
      <c r="A32" s="54" t="s">
        <v>31</v>
      </c>
      <c r="B32" s="52">
        <v>666666666</v>
      </c>
      <c r="C32" s="54" t="s">
        <v>32</v>
      </c>
      <c r="D32" s="63" t="s">
        <v>147</v>
      </c>
      <c r="E32" s="66">
        <f>B52</f>
        <v>49</v>
      </c>
      <c r="F32" s="65" t="s">
        <v>24</v>
      </c>
      <c r="G32" s="28" t="s">
        <v>27</v>
      </c>
      <c r="H32" s="32">
        <f>B26</f>
        <v>1</v>
      </c>
      <c r="J32" s="28" t="s">
        <v>27</v>
      </c>
      <c r="K32" s="32">
        <f>B26</f>
        <v>1</v>
      </c>
      <c r="M32" s="28" t="s">
        <v>27</v>
      </c>
      <c r="N32" s="32">
        <f>B26</f>
        <v>1</v>
      </c>
    </row>
    <row r="33" spans="1:15" x14ac:dyDescent="0.2">
      <c r="A33" s="38" t="s">
        <v>65</v>
      </c>
      <c r="B33" s="42">
        <v>0.38</v>
      </c>
      <c r="D33" s="63" t="s">
        <v>146</v>
      </c>
      <c r="E33" s="66">
        <f>B53</f>
        <v>16</v>
      </c>
      <c r="F33" s="65" t="s">
        <v>24</v>
      </c>
      <c r="G33" s="28" t="s">
        <v>29</v>
      </c>
      <c r="H33" s="32">
        <f>B29</f>
        <v>0.4</v>
      </c>
      <c r="J33" s="28" t="s">
        <v>29</v>
      </c>
      <c r="K33" s="32">
        <f>B29</f>
        <v>0.4</v>
      </c>
      <c r="M33" s="28" t="s">
        <v>29</v>
      </c>
      <c r="N33" s="32">
        <f>B29</f>
        <v>0.4</v>
      </c>
    </row>
    <row r="34" spans="1:15" ht="15" x14ac:dyDescent="0.2">
      <c r="A34" s="367" t="s">
        <v>7</v>
      </c>
      <c r="B34" s="367"/>
      <c r="C34" s="368"/>
      <c r="D34" s="67" t="s">
        <v>151</v>
      </c>
      <c r="E34" s="66">
        <f>B48</f>
        <v>2</v>
      </c>
      <c r="F34" s="65" t="s">
        <v>204</v>
      </c>
      <c r="G34" s="54" t="s">
        <v>99</v>
      </c>
      <c r="H34" s="32">
        <f>B30</f>
        <v>1</v>
      </c>
      <c r="J34" s="54" t="s">
        <v>99</v>
      </c>
      <c r="K34" s="32">
        <f>B30</f>
        <v>1</v>
      </c>
      <c r="M34" s="54" t="s">
        <v>99</v>
      </c>
      <c r="N34" s="32">
        <f>B30</f>
        <v>1</v>
      </c>
    </row>
    <row r="35" spans="1:15" x14ac:dyDescent="0.2">
      <c r="A35" s="40" t="s">
        <v>155</v>
      </c>
      <c r="B35" s="166">
        <v>350</v>
      </c>
      <c r="C35" s="40" t="s">
        <v>202</v>
      </c>
      <c r="D35" s="67" t="s">
        <v>150</v>
      </c>
      <c r="E35" s="66">
        <f>B49</f>
        <v>10</v>
      </c>
      <c r="F35" s="65" t="s">
        <v>204</v>
      </c>
      <c r="G35" s="54" t="s">
        <v>16</v>
      </c>
      <c r="H35" s="32">
        <f>B31</f>
        <v>0.4</v>
      </c>
      <c r="J35" s="54" t="s">
        <v>16</v>
      </c>
      <c r="K35" s="32">
        <f>B31</f>
        <v>0.4</v>
      </c>
      <c r="M35" s="54" t="s">
        <v>16</v>
      </c>
      <c r="N35" s="32">
        <f>B31</f>
        <v>0.4</v>
      </c>
    </row>
    <row r="36" spans="1:15" x14ac:dyDescent="0.2">
      <c r="A36" s="40" t="s">
        <v>156</v>
      </c>
      <c r="B36" s="166">
        <v>350</v>
      </c>
      <c r="C36" s="40" t="s">
        <v>202</v>
      </c>
      <c r="D36" s="63" t="s">
        <v>149</v>
      </c>
      <c r="E36" s="66">
        <f>B47</f>
        <v>20</v>
      </c>
      <c r="F36" s="65" t="s">
        <v>26</v>
      </c>
      <c r="G36" s="332" t="s">
        <v>30</v>
      </c>
      <c r="H36" s="43">
        <f>B17</f>
        <v>0.75568181818181801</v>
      </c>
      <c r="I36" s="332"/>
      <c r="J36" s="332" t="s">
        <v>30</v>
      </c>
      <c r="K36" s="43">
        <f>B17</f>
        <v>0.75568181818181801</v>
      </c>
      <c r="L36" s="332"/>
      <c r="M36" s="332" t="s">
        <v>30</v>
      </c>
      <c r="N36" s="43">
        <f>B17</f>
        <v>0.75568181818181801</v>
      </c>
    </row>
    <row r="37" spans="1:15" x14ac:dyDescent="0.2">
      <c r="A37" s="40" t="s">
        <v>157</v>
      </c>
      <c r="B37" s="166">
        <v>350</v>
      </c>
      <c r="C37" s="40" t="s">
        <v>202</v>
      </c>
      <c r="D37" s="68" t="s">
        <v>148</v>
      </c>
      <c r="E37" s="69">
        <f>B46</f>
        <v>10</v>
      </c>
      <c r="F37" s="70" t="s">
        <v>26</v>
      </c>
      <c r="G37" s="54" t="s">
        <v>31</v>
      </c>
      <c r="H37" s="53">
        <f>B32</f>
        <v>666666666</v>
      </c>
      <c r="I37" s="54" t="s">
        <v>32</v>
      </c>
      <c r="J37" s="54" t="s">
        <v>31</v>
      </c>
      <c r="K37" s="53">
        <f>B32</f>
        <v>666666666</v>
      </c>
      <c r="L37" s="54" t="s">
        <v>32</v>
      </c>
      <c r="M37" s="54" t="s">
        <v>31</v>
      </c>
      <c r="N37" s="53">
        <f>B32</f>
        <v>666666666</v>
      </c>
      <c r="O37" s="54" t="s">
        <v>32</v>
      </c>
    </row>
    <row r="38" spans="1:15" x14ac:dyDescent="0.2">
      <c r="A38" s="40" t="s">
        <v>154</v>
      </c>
      <c r="B38" s="42">
        <v>24</v>
      </c>
      <c r="C38" s="40" t="s">
        <v>203</v>
      </c>
      <c r="D38" s="28" t="s">
        <v>125</v>
      </c>
      <c r="E38" s="32">
        <f>B43</f>
        <v>1</v>
      </c>
      <c r="F38" s="28" t="s">
        <v>205</v>
      </c>
      <c r="G38" s="44" t="s">
        <v>98</v>
      </c>
      <c r="H38" s="43">
        <f>PEF!K2</f>
        <v>46142917.395111896</v>
      </c>
      <c r="I38" s="28" t="s">
        <v>34</v>
      </c>
      <c r="J38" s="44" t="s">
        <v>98</v>
      </c>
      <c r="K38" s="43">
        <f>PEF!K2</f>
        <v>46142917.395111896</v>
      </c>
      <c r="L38" s="28" t="s">
        <v>34</v>
      </c>
      <c r="M38" s="44" t="s">
        <v>98</v>
      </c>
      <c r="N38" s="43">
        <f>PEF!K2</f>
        <v>46142917.395111896</v>
      </c>
      <c r="O38" s="28" t="s">
        <v>34</v>
      </c>
    </row>
    <row r="39" spans="1:15" x14ac:dyDescent="0.2">
      <c r="A39" s="40" t="s">
        <v>158</v>
      </c>
      <c r="B39" s="42">
        <v>4</v>
      </c>
      <c r="C39" s="40" t="s">
        <v>203</v>
      </c>
      <c r="D39" s="28" t="s">
        <v>3</v>
      </c>
      <c r="E39" s="32">
        <f>B25</f>
        <v>1</v>
      </c>
      <c r="G39" s="28" t="s">
        <v>33</v>
      </c>
      <c r="H39" s="43">
        <f>PEF!C2</f>
        <v>1365593623.3683286</v>
      </c>
      <c r="I39" s="28" t="s">
        <v>34</v>
      </c>
      <c r="J39" s="28" t="s">
        <v>33</v>
      </c>
      <c r="K39" s="43">
        <f>PEF!C2</f>
        <v>1365593623.3683286</v>
      </c>
      <c r="L39" s="28" t="s">
        <v>34</v>
      </c>
      <c r="M39" s="28" t="s">
        <v>33</v>
      </c>
      <c r="N39" s="43">
        <f>PEF!C2</f>
        <v>1365593623.3683286</v>
      </c>
      <c r="O39" s="28" t="s">
        <v>34</v>
      </c>
    </row>
    <row r="40" spans="1:15" x14ac:dyDescent="0.2">
      <c r="A40" s="40" t="s">
        <v>159</v>
      </c>
      <c r="B40" s="42">
        <v>4</v>
      </c>
      <c r="C40" s="40" t="s">
        <v>203</v>
      </c>
      <c r="D40" s="28" t="s">
        <v>27</v>
      </c>
      <c r="E40" s="32">
        <f>B26</f>
        <v>1</v>
      </c>
      <c r="G40" s="28" t="s">
        <v>102</v>
      </c>
      <c r="H40" s="32">
        <f>B22</f>
        <v>222.01757699999999</v>
      </c>
      <c r="I40" s="28" t="s">
        <v>103</v>
      </c>
      <c r="J40" s="28" t="s">
        <v>102</v>
      </c>
      <c r="K40" s="32">
        <f>B22</f>
        <v>222.01757699999999</v>
      </c>
      <c r="L40" s="28" t="s">
        <v>103</v>
      </c>
      <c r="M40" s="28" t="s">
        <v>102</v>
      </c>
      <c r="N40" s="32">
        <f>B22</f>
        <v>222.01757699999999</v>
      </c>
      <c r="O40" s="28" t="s">
        <v>103</v>
      </c>
    </row>
    <row r="41" spans="1:15" x14ac:dyDescent="0.2">
      <c r="A41" s="40" t="s">
        <v>152</v>
      </c>
      <c r="B41" s="42">
        <v>24</v>
      </c>
      <c r="C41" s="40" t="s">
        <v>203</v>
      </c>
      <c r="D41" s="28" t="s">
        <v>160</v>
      </c>
      <c r="E41" s="32">
        <f>B50</f>
        <v>1.752</v>
      </c>
      <c r="F41" s="28" t="s">
        <v>203</v>
      </c>
      <c r="G41" s="28" t="s">
        <v>100</v>
      </c>
      <c r="H41" s="207">
        <v>27.027027027027</v>
      </c>
      <c r="I41" s="208" t="s">
        <v>101</v>
      </c>
      <c r="J41" s="208" t="s">
        <v>100</v>
      </c>
      <c r="K41" s="207">
        <v>27.027027027027</v>
      </c>
      <c r="L41" s="208" t="s">
        <v>101</v>
      </c>
      <c r="M41" s="208" t="s">
        <v>100</v>
      </c>
      <c r="N41" s="207">
        <v>27.027027027027</v>
      </c>
      <c r="O41" s="28" t="s">
        <v>101</v>
      </c>
    </row>
    <row r="42" spans="1:15" x14ac:dyDescent="0.2">
      <c r="A42" s="40" t="s">
        <v>153</v>
      </c>
      <c r="B42" s="42">
        <v>24</v>
      </c>
      <c r="C42" s="40" t="s">
        <v>203</v>
      </c>
      <c r="D42" s="28" t="s">
        <v>161</v>
      </c>
      <c r="E42" s="32">
        <f>B51</f>
        <v>16.399999999999999</v>
      </c>
      <c r="F42" s="28" t="s">
        <v>203</v>
      </c>
      <c r="G42" s="28" t="s">
        <v>104</v>
      </c>
      <c r="H42" s="32">
        <f>2.8*(10^(-15))</f>
        <v>2.8000000000000001E-15</v>
      </c>
      <c r="J42" s="28" t="s">
        <v>104</v>
      </c>
      <c r="K42" s="32">
        <f>2.8*(10^(-15))</f>
        <v>2.8000000000000001E-15</v>
      </c>
      <c r="M42" s="28" t="s">
        <v>104</v>
      </c>
      <c r="N42" s="32">
        <f>2.8*(10^(-15))</f>
        <v>2.8000000000000001E-15</v>
      </c>
    </row>
    <row r="43" spans="1:15" x14ac:dyDescent="0.2">
      <c r="A43" s="40" t="s">
        <v>125</v>
      </c>
      <c r="B43" s="42">
        <v>1</v>
      </c>
      <c r="C43" s="40" t="s">
        <v>10</v>
      </c>
      <c r="D43" s="28" t="s">
        <v>29</v>
      </c>
      <c r="E43" s="32">
        <f>B29</f>
        <v>0.4</v>
      </c>
    </row>
    <row r="44" spans="1:15" x14ac:dyDescent="0.2">
      <c r="A44" s="40" t="s">
        <v>146</v>
      </c>
      <c r="B44" s="42">
        <v>16</v>
      </c>
      <c r="C44" s="40" t="s">
        <v>120</v>
      </c>
      <c r="D44" s="54" t="s">
        <v>99</v>
      </c>
      <c r="E44" s="32">
        <f>B30</f>
        <v>1</v>
      </c>
    </row>
    <row r="45" spans="1:15" x14ac:dyDescent="0.2">
      <c r="A45" s="40" t="s">
        <v>147</v>
      </c>
      <c r="B45" s="42">
        <v>49</v>
      </c>
      <c r="C45" s="40" t="s">
        <v>120</v>
      </c>
      <c r="D45" s="54" t="s">
        <v>16</v>
      </c>
      <c r="E45" s="32">
        <f>B31</f>
        <v>0.4</v>
      </c>
    </row>
    <row r="46" spans="1:15" x14ac:dyDescent="0.2">
      <c r="A46" s="40" t="s">
        <v>148</v>
      </c>
      <c r="B46" s="42">
        <v>10</v>
      </c>
      <c r="C46" s="40" t="s">
        <v>121</v>
      </c>
      <c r="D46" s="28" t="s">
        <v>30</v>
      </c>
      <c r="E46" s="43">
        <f>B17</f>
        <v>0.75568181818181801</v>
      </c>
    </row>
    <row r="47" spans="1:15" x14ac:dyDescent="0.2">
      <c r="A47" s="40" t="s">
        <v>149</v>
      </c>
      <c r="B47" s="42">
        <v>20</v>
      </c>
      <c r="C47" s="40" t="s">
        <v>121</v>
      </c>
      <c r="D47" s="54" t="s">
        <v>31</v>
      </c>
      <c r="E47" s="53">
        <f>B32</f>
        <v>666666666</v>
      </c>
      <c r="F47" s="54" t="s">
        <v>32</v>
      </c>
    </row>
    <row r="48" spans="1:15" x14ac:dyDescent="0.2">
      <c r="A48" s="40" t="s">
        <v>151</v>
      </c>
      <c r="B48" s="55">
        <v>2</v>
      </c>
      <c r="C48" s="28" t="s">
        <v>204</v>
      </c>
      <c r="D48" s="44" t="s">
        <v>98</v>
      </c>
      <c r="E48" s="43">
        <f>PEF!I2</f>
        <v>46142766.007587641</v>
      </c>
      <c r="F48" s="28" t="s">
        <v>34</v>
      </c>
    </row>
    <row r="49" spans="1:6" x14ac:dyDescent="0.2">
      <c r="A49" s="40" t="s">
        <v>150</v>
      </c>
      <c r="B49" s="55">
        <v>10</v>
      </c>
      <c r="C49" s="28" t="s">
        <v>204</v>
      </c>
      <c r="D49" s="28" t="s">
        <v>33</v>
      </c>
      <c r="E49" s="43">
        <f>PEF!C2</f>
        <v>1365593623.3683286</v>
      </c>
      <c r="F49" s="28" t="s">
        <v>34</v>
      </c>
    </row>
    <row r="50" spans="1:6" x14ac:dyDescent="0.2">
      <c r="A50" s="28" t="s">
        <v>160</v>
      </c>
      <c r="B50" s="55">
        <v>1.752</v>
      </c>
      <c r="C50" s="28" t="s">
        <v>203</v>
      </c>
      <c r="D50" s="28" t="s">
        <v>102</v>
      </c>
      <c r="E50" s="32">
        <f>B22</f>
        <v>222.01757699999999</v>
      </c>
      <c r="F50" s="28" t="s">
        <v>103</v>
      </c>
    </row>
    <row r="51" spans="1:6" x14ac:dyDescent="0.2">
      <c r="A51" s="28" t="s">
        <v>161</v>
      </c>
      <c r="B51" s="55">
        <v>16.399999999999999</v>
      </c>
      <c r="C51" s="28" t="s">
        <v>203</v>
      </c>
      <c r="D51" s="28" t="s">
        <v>100</v>
      </c>
      <c r="E51" s="207">
        <v>27.027027027027</v>
      </c>
      <c r="F51" s="28" t="s">
        <v>101</v>
      </c>
    </row>
    <row r="52" spans="1:6" x14ac:dyDescent="0.2">
      <c r="A52" s="28" t="s">
        <v>147</v>
      </c>
      <c r="B52" s="55">
        <v>49</v>
      </c>
      <c r="C52" s="28" t="s">
        <v>24</v>
      </c>
      <c r="D52" s="28" t="s">
        <v>104</v>
      </c>
      <c r="E52" s="32">
        <f>2.8*(10^(-15))</f>
        <v>2.8000000000000001E-15</v>
      </c>
    </row>
    <row r="53" spans="1:6" x14ac:dyDescent="0.2">
      <c r="A53" s="28" t="s">
        <v>146</v>
      </c>
      <c r="B53" s="55">
        <v>16</v>
      </c>
      <c r="C53" s="28" t="s">
        <v>24</v>
      </c>
    </row>
    <row r="54" spans="1:6" x14ac:dyDescent="0.2">
      <c r="A54" s="28" t="s">
        <v>163</v>
      </c>
      <c r="B54" s="55">
        <v>0.77</v>
      </c>
      <c r="C54" s="28"/>
      <c r="F54" s="31" t="s">
        <v>194</v>
      </c>
    </row>
    <row r="55" spans="1:6" x14ac:dyDescent="0.2">
      <c r="A55" s="28" t="s">
        <v>164</v>
      </c>
      <c r="B55" s="55">
        <v>0.23</v>
      </c>
      <c r="C55" s="28"/>
      <c r="F55" s="31" t="s">
        <v>95</v>
      </c>
    </row>
    <row r="56" spans="1:6" ht="15" x14ac:dyDescent="0.2">
      <c r="A56" s="369" t="s">
        <v>180</v>
      </c>
      <c r="B56" s="369"/>
      <c r="C56" s="369"/>
      <c r="F56" s="31" t="s">
        <v>96</v>
      </c>
    </row>
    <row r="57" spans="1:6" x14ac:dyDescent="0.2">
      <c r="A57" s="40" t="s">
        <v>133</v>
      </c>
      <c r="B57" s="166">
        <v>250</v>
      </c>
      <c r="C57" s="40" t="s">
        <v>202</v>
      </c>
      <c r="F57" s="31" t="s">
        <v>97</v>
      </c>
    </row>
    <row r="58" spans="1:6" x14ac:dyDescent="0.2">
      <c r="A58" s="40" t="s">
        <v>122</v>
      </c>
      <c r="B58" s="42">
        <v>8</v>
      </c>
      <c r="C58" s="40" t="s">
        <v>203</v>
      </c>
    </row>
    <row r="59" spans="1:6" x14ac:dyDescent="0.2">
      <c r="A59" s="40" t="s">
        <v>185</v>
      </c>
      <c r="B59" s="42">
        <v>4</v>
      </c>
      <c r="C59" s="40" t="s">
        <v>203</v>
      </c>
    </row>
    <row r="60" spans="1:6" x14ac:dyDescent="0.2">
      <c r="A60" s="40" t="s">
        <v>186</v>
      </c>
      <c r="B60" s="42">
        <v>4</v>
      </c>
      <c r="C60" s="40" t="s">
        <v>203</v>
      </c>
    </row>
    <row r="61" spans="1:6" x14ac:dyDescent="0.2">
      <c r="A61" s="40" t="s">
        <v>135</v>
      </c>
      <c r="B61" s="42">
        <v>1</v>
      </c>
      <c r="C61" s="40" t="s">
        <v>10</v>
      </c>
    </row>
    <row r="62" spans="1:6" x14ac:dyDescent="0.2">
      <c r="A62" s="40" t="s">
        <v>136</v>
      </c>
      <c r="B62" s="42">
        <v>49</v>
      </c>
      <c r="C62" s="40" t="s">
        <v>120</v>
      </c>
    </row>
    <row r="63" spans="1:6" x14ac:dyDescent="0.2">
      <c r="A63" s="40" t="s">
        <v>134</v>
      </c>
      <c r="B63" s="42">
        <v>2.5</v>
      </c>
      <c r="C63" s="40" t="s">
        <v>121</v>
      </c>
    </row>
    <row r="64" spans="1:6" x14ac:dyDescent="0.2">
      <c r="A64" s="40" t="s">
        <v>137</v>
      </c>
      <c r="B64" s="42">
        <v>2</v>
      </c>
      <c r="C64" s="40" t="s">
        <v>204</v>
      </c>
    </row>
    <row r="65" spans="1:3" ht="15" x14ac:dyDescent="0.2">
      <c r="A65" s="370" t="s">
        <v>181</v>
      </c>
      <c r="B65" s="370"/>
      <c r="C65" s="370"/>
    </row>
    <row r="66" spans="1:3" x14ac:dyDescent="0.2">
      <c r="A66" s="40" t="s">
        <v>128</v>
      </c>
      <c r="B66" s="166">
        <v>225</v>
      </c>
      <c r="C66" s="40" t="s">
        <v>202</v>
      </c>
    </row>
    <row r="67" spans="1:3" x14ac:dyDescent="0.2">
      <c r="A67" s="40" t="s">
        <v>122</v>
      </c>
      <c r="B67" s="42">
        <v>8</v>
      </c>
      <c r="C67" s="40" t="s">
        <v>203</v>
      </c>
    </row>
    <row r="68" spans="1:3" x14ac:dyDescent="0.2">
      <c r="A68" s="40" t="s">
        <v>183</v>
      </c>
      <c r="B68" s="42">
        <v>4</v>
      </c>
      <c r="C68" s="40" t="s">
        <v>203</v>
      </c>
    </row>
    <row r="69" spans="1:3" x14ac:dyDescent="0.2">
      <c r="A69" s="40" t="s">
        <v>184</v>
      </c>
      <c r="B69" s="42">
        <v>4</v>
      </c>
      <c r="C69" s="40" t="s">
        <v>203</v>
      </c>
    </row>
    <row r="70" spans="1:3" x14ac:dyDescent="0.2">
      <c r="A70" s="40" t="s">
        <v>129</v>
      </c>
      <c r="B70" s="42">
        <v>1</v>
      </c>
      <c r="C70" s="40" t="s">
        <v>10</v>
      </c>
    </row>
    <row r="71" spans="1:3" x14ac:dyDescent="0.2">
      <c r="A71" s="40" t="s">
        <v>130</v>
      </c>
      <c r="B71" s="42">
        <v>49</v>
      </c>
      <c r="C71" s="40" t="s">
        <v>120</v>
      </c>
    </row>
    <row r="72" spans="1:3" x14ac:dyDescent="0.2">
      <c r="A72" s="40" t="s">
        <v>127</v>
      </c>
      <c r="B72" s="42">
        <v>2.5</v>
      </c>
      <c r="C72" s="40" t="s">
        <v>121</v>
      </c>
    </row>
    <row r="73" spans="1:3" x14ac:dyDescent="0.2">
      <c r="A73" s="40" t="s">
        <v>131</v>
      </c>
      <c r="B73" s="42">
        <v>2</v>
      </c>
      <c r="C73" s="40" t="s">
        <v>204</v>
      </c>
    </row>
    <row r="74" spans="1:3" ht="15" x14ac:dyDescent="0.2">
      <c r="A74" s="371" t="s">
        <v>182</v>
      </c>
      <c r="B74" s="371"/>
      <c r="C74" s="371"/>
    </row>
    <row r="75" spans="1:3" x14ac:dyDescent="0.2">
      <c r="A75" s="40" t="s">
        <v>13</v>
      </c>
      <c r="B75" s="166">
        <v>250</v>
      </c>
      <c r="C75" s="40" t="s">
        <v>202</v>
      </c>
    </row>
    <row r="76" spans="1:3" x14ac:dyDescent="0.2">
      <c r="A76" s="40" t="s">
        <v>122</v>
      </c>
      <c r="B76" s="42">
        <v>8</v>
      </c>
      <c r="C76" s="40" t="s">
        <v>203</v>
      </c>
    </row>
    <row r="77" spans="1:3" x14ac:dyDescent="0.2">
      <c r="A77" s="40" t="s">
        <v>123</v>
      </c>
      <c r="B77" s="42">
        <v>4</v>
      </c>
      <c r="C77" s="40" t="s">
        <v>203</v>
      </c>
    </row>
    <row r="78" spans="1:3" x14ac:dyDescent="0.2">
      <c r="A78" s="40" t="s">
        <v>124</v>
      </c>
      <c r="B78" s="42">
        <v>4</v>
      </c>
      <c r="C78" s="40" t="s">
        <v>203</v>
      </c>
    </row>
    <row r="79" spans="1:3" x14ac:dyDescent="0.2">
      <c r="A79" s="40" t="s">
        <v>15</v>
      </c>
      <c r="B79" s="42">
        <v>1</v>
      </c>
      <c r="C79" s="40" t="s">
        <v>10</v>
      </c>
    </row>
    <row r="80" spans="1:3" x14ac:dyDescent="0.2">
      <c r="A80" s="40" t="s">
        <v>17</v>
      </c>
      <c r="B80" s="42">
        <v>49</v>
      </c>
      <c r="C80" s="40" t="s">
        <v>120</v>
      </c>
    </row>
    <row r="81" spans="1:3" x14ac:dyDescent="0.2">
      <c r="A81" s="40" t="s">
        <v>12</v>
      </c>
      <c r="B81" s="42">
        <v>2.5</v>
      </c>
      <c r="C81" s="40" t="s">
        <v>121</v>
      </c>
    </row>
    <row r="82" spans="1:3" x14ac:dyDescent="0.2">
      <c r="A82" s="40" t="s">
        <v>18</v>
      </c>
      <c r="B82" s="42">
        <v>3</v>
      </c>
      <c r="C82" s="40" t="s">
        <v>204</v>
      </c>
    </row>
    <row r="105" spans="1:1" x14ac:dyDescent="0.2">
      <c r="A105" s="28"/>
    </row>
    <row r="106" spans="1:1" x14ac:dyDescent="0.2">
      <c r="A106" s="28"/>
    </row>
  </sheetData>
  <mergeCells count="10">
    <mergeCell ref="A65:C65"/>
    <mergeCell ref="A74:C74"/>
    <mergeCell ref="D1:F1"/>
    <mergeCell ref="G1:I1"/>
    <mergeCell ref="J1:L1"/>
    <mergeCell ref="M1:O1"/>
    <mergeCell ref="A1:C1"/>
    <mergeCell ref="A2:C5"/>
    <mergeCell ref="A34:C34"/>
    <mergeCell ref="A56:C56"/>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05"/>
  <sheetViews>
    <sheetView zoomScale="80" zoomScaleNormal="80" workbookViewId="0">
      <pane xSplit="3" ySplit="1" topLeftCell="D2" activePane="bottomRight" state="frozen"/>
      <selection pane="topRight" activeCell="D1" sqref="D1"/>
      <selection pane="bottomLeft" activeCell="A2" sqref="A2"/>
      <selection pane="bottomRight" sqref="A1:C1"/>
    </sheetView>
  </sheetViews>
  <sheetFormatPr defaultColWidth="8.85546875" defaultRowHeight="14.25" x14ac:dyDescent="0.2"/>
  <cols>
    <col min="1" max="1" width="13.7109375" bestFit="1" customWidth="1"/>
    <col min="2" max="2" width="9.28515625" bestFit="1" customWidth="1"/>
    <col min="3" max="3" width="21" bestFit="1" customWidth="1"/>
    <col min="4" max="4" width="12.28515625" style="28" bestFit="1" customWidth="1"/>
    <col min="5" max="5" width="9.28515625" style="32" bestFit="1" customWidth="1"/>
    <col min="6" max="6" width="20.5703125" style="28" bestFit="1" customWidth="1"/>
    <col min="7" max="7" width="13.7109375" bestFit="1" customWidth="1"/>
    <col min="8" max="8" width="9.28515625" bestFit="1" customWidth="1"/>
    <col min="9" max="9" width="21" bestFit="1" customWidth="1"/>
    <col min="10" max="10" width="13.7109375" bestFit="1" customWidth="1"/>
    <col min="11" max="11" width="9.28515625" bestFit="1" customWidth="1"/>
    <col min="12" max="12" width="21" bestFit="1" customWidth="1"/>
    <col min="13" max="13" width="12.28515625" style="28" bestFit="1" customWidth="1"/>
    <col min="14" max="14" width="9.28515625" style="32" bestFit="1" customWidth="1"/>
    <col min="15" max="15" width="20.5703125" style="28" bestFit="1" customWidth="1"/>
    <col min="16" max="16" width="13.7109375" bestFit="1" customWidth="1"/>
    <col min="17" max="17" width="9.28515625" bestFit="1" customWidth="1"/>
    <col min="18" max="18" width="21" bestFit="1" customWidth="1"/>
    <col min="19" max="19" width="13.7109375" bestFit="1" customWidth="1"/>
    <col min="20" max="20" width="9.28515625" bestFit="1" customWidth="1"/>
    <col min="21" max="21" width="21" bestFit="1" customWidth="1"/>
    <col min="22" max="22" width="12.28515625" style="28" bestFit="1" customWidth="1"/>
    <col min="23" max="23" width="9.28515625" style="28" bestFit="1" customWidth="1"/>
    <col min="24" max="24" width="20.5703125" style="28" bestFit="1" customWidth="1"/>
    <col min="25" max="25" width="13.7109375" bestFit="1" customWidth="1"/>
    <col min="26" max="26" width="9.28515625" bestFit="1" customWidth="1"/>
    <col min="27" max="27" width="21" bestFit="1" customWidth="1"/>
    <col min="28" max="28" width="13.7109375" bestFit="1" customWidth="1"/>
    <col min="29" max="29" width="9.28515625" bestFit="1" customWidth="1"/>
    <col min="30" max="30" width="21" bestFit="1" customWidth="1"/>
    <col min="31" max="31" width="12.28515625" style="28" bestFit="1" customWidth="1"/>
    <col min="32" max="32" width="9.28515625" style="32" bestFit="1" customWidth="1"/>
    <col min="33" max="33" width="20.5703125" style="28" bestFit="1" customWidth="1"/>
    <col min="34" max="34" width="13.7109375" bestFit="1" customWidth="1"/>
    <col min="35" max="35" width="9.28515625" bestFit="1" customWidth="1"/>
    <col min="36" max="36" width="21" bestFit="1" customWidth="1"/>
    <col min="37" max="37" width="13.7109375" bestFit="1" customWidth="1"/>
    <col min="38" max="38" width="9.28515625" bestFit="1" customWidth="1"/>
    <col min="39" max="39" width="21" bestFit="1" customWidth="1"/>
    <col min="40" max="16384" width="8.85546875" style="1"/>
  </cols>
  <sheetData>
    <row r="1" spans="1:39" ht="21.75" thickTop="1" thickBot="1" x14ac:dyDescent="0.3">
      <c r="A1" s="364" t="s">
        <v>6</v>
      </c>
      <c r="B1" s="365"/>
      <c r="C1" s="366"/>
      <c r="D1" s="414" t="s">
        <v>171</v>
      </c>
      <c r="E1" s="412"/>
      <c r="F1" s="413"/>
      <c r="G1" s="411" t="s">
        <v>187</v>
      </c>
      <c r="H1" s="412"/>
      <c r="I1" s="413"/>
      <c r="J1" s="411" t="s">
        <v>188</v>
      </c>
      <c r="K1" s="412"/>
      <c r="L1" s="413"/>
      <c r="M1" s="399" t="s">
        <v>172</v>
      </c>
      <c r="N1" s="400"/>
      <c r="O1" s="401"/>
      <c r="P1" s="399" t="s">
        <v>189</v>
      </c>
      <c r="Q1" s="400"/>
      <c r="R1" s="401"/>
      <c r="S1" s="399" t="s">
        <v>168</v>
      </c>
      <c r="T1" s="400"/>
      <c r="U1" s="401"/>
      <c r="V1" s="402" t="s">
        <v>173</v>
      </c>
      <c r="W1" s="403"/>
      <c r="X1" s="404"/>
      <c r="Y1" s="402" t="s">
        <v>190</v>
      </c>
      <c r="Z1" s="403"/>
      <c r="AA1" s="404"/>
      <c r="AB1" s="402" t="s">
        <v>169</v>
      </c>
      <c r="AC1" s="403"/>
      <c r="AD1" s="404"/>
      <c r="AE1" s="405" t="s">
        <v>174</v>
      </c>
      <c r="AF1" s="406"/>
      <c r="AG1" s="407"/>
      <c r="AH1" s="405" t="s">
        <v>191</v>
      </c>
      <c r="AI1" s="406"/>
      <c r="AJ1" s="407"/>
      <c r="AK1" s="405" t="s">
        <v>170</v>
      </c>
      <c r="AL1" s="406"/>
      <c r="AM1" s="407"/>
    </row>
    <row r="2" spans="1:39" ht="15" thickTop="1" x14ac:dyDescent="0.2">
      <c r="A2" s="372" t="s">
        <v>112</v>
      </c>
      <c r="B2" s="373"/>
      <c r="C2" s="373"/>
      <c r="D2" s="183" t="s">
        <v>175</v>
      </c>
      <c r="E2" s="163">
        <f>1/((1/E17)+(1/E18)+(1/E20))</f>
        <v>8.4010444430128462E-6</v>
      </c>
      <c r="F2" s="155" t="s">
        <v>176</v>
      </c>
      <c r="G2" s="84" t="s">
        <v>82</v>
      </c>
      <c r="H2" s="232">
        <f>(H17*H18*H19)/(H20*H22*H35*H33*H34*H37*H27*(1/365)*((H32*H30)+(H36*H29))*(1/24))</f>
        <v>58.1966192410123</v>
      </c>
      <c r="I2" s="49" t="s">
        <v>108</v>
      </c>
      <c r="J2" s="84" t="s">
        <v>82</v>
      </c>
      <c r="K2" s="232">
        <f>(K17*K18*K19)/(K20*K22*K35*K33*K34*K37*K27*(1/365)*((K32*K30)+(K36*K29))*(1/24))</f>
        <v>81.067890602730145</v>
      </c>
      <c r="L2" s="49" t="s">
        <v>108</v>
      </c>
      <c r="M2" s="184" t="s">
        <v>175</v>
      </c>
      <c r="N2" s="165">
        <f>1/((1/N17)+(1/N18)+(1/N20))</f>
        <v>7.8725898400632753E-6</v>
      </c>
      <c r="O2" s="146" t="s">
        <v>176</v>
      </c>
      <c r="P2" s="91" t="s">
        <v>82</v>
      </c>
      <c r="Q2" s="229">
        <f>(Q17*Q18*Q19)/(Q20*Q22*Q30*Q35*Q33*Q34*Q37*Q32*(1/24)*Q27*(1/365))</f>
        <v>84.65280234797649</v>
      </c>
      <c r="R2" s="92" t="s">
        <v>108</v>
      </c>
      <c r="S2" s="91" t="s">
        <v>82</v>
      </c>
      <c r="T2" s="229">
        <f>(T17*T18*T19)/(T20*T22*T35*T33*T34*T37*T27*(1/365)*T30*T32*(1/24))</f>
        <v>117.92135367073126</v>
      </c>
      <c r="U2" s="92" t="s">
        <v>108</v>
      </c>
      <c r="V2" s="185" t="s">
        <v>175</v>
      </c>
      <c r="W2" s="172">
        <f>1/((1/W17)+(1/W18)+(1/W20))</f>
        <v>8.7473220445147512E-6</v>
      </c>
      <c r="X2" s="167" t="s">
        <v>176</v>
      </c>
      <c r="Y2" s="75" t="s">
        <v>82</v>
      </c>
      <c r="Z2" s="223">
        <f>(Z17*Z18*Z19)/(Z20*Z22*Z30*Z35*Z33*Z34*Z37*Z32*(1/24)*Z27*(1/365))</f>
        <v>94.058669275529425</v>
      </c>
      <c r="AA2" s="76" t="s">
        <v>108</v>
      </c>
      <c r="AB2" s="75" t="s">
        <v>82</v>
      </c>
      <c r="AC2" s="223">
        <f>(AC17*AC18*AC19)/(AC20*AC22*AC35*AC33*AC34*AC37*AC27*(1/365)*AC30*AC32*(1/24))</f>
        <v>131.02372630081251</v>
      </c>
      <c r="AD2" s="76" t="s">
        <v>108</v>
      </c>
      <c r="AE2" s="186" t="s">
        <v>175</v>
      </c>
      <c r="AF2" s="164">
        <f>1/((1/AF17)+(1/AF18)+(1/AF20))</f>
        <v>7.8714450132813584E-6</v>
      </c>
      <c r="AG2" s="149" t="s">
        <v>176</v>
      </c>
      <c r="AH2" s="175" t="s">
        <v>82</v>
      </c>
      <c r="AI2" s="226">
        <f>(AI17*AI18*AI19)/(AI20*AI22*AI30*AI35*AI33*AI34*AI37*AI32*(1/24)*AI27*(1/365))</f>
        <v>211.63200586994122</v>
      </c>
      <c r="AJ2" s="50" t="s">
        <v>108</v>
      </c>
      <c r="AK2" s="175" t="s">
        <v>82</v>
      </c>
      <c r="AL2" s="226">
        <f>(AL17*AL18*AL19)/(AL20*AL22*AL30*AL35*AL33*AL34*AL37*AL32*(1/24)*AL27*(1/365))</f>
        <v>294.80338417682816</v>
      </c>
      <c r="AM2" s="50" t="s">
        <v>108</v>
      </c>
    </row>
    <row r="3" spans="1:39" ht="15" thickBot="1" x14ac:dyDescent="0.25">
      <c r="A3" s="375"/>
      <c r="B3" s="376"/>
      <c r="C3" s="376"/>
      <c r="D3" s="154" t="s">
        <v>177</v>
      </c>
      <c r="E3" s="169">
        <f>1/((1/E17)+(1/E19)+(1/E20))</f>
        <v>1.1571773239039448E-3</v>
      </c>
      <c r="F3" s="152" t="s">
        <v>176</v>
      </c>
      <c r="G3" s="85" t="s">
        <v>83</v>
      </c>
      <c r="H3" s="233">
        <f>(H17*H18*H19)/(H20*H23*H35*H33*H34*H37*H27*(1/365)*((H32*H30)+(H36*H29))*(1/24))</f>
        <v>84.890032505238494</v>
      </c>
      <c r="I3" s="86" t="s">
        <v>110</v>
      </c>
      <c r="J3" s="85" t="s">
        <v>83</v>
      </c>
      <c r="K3" s="233">
        <f>(K17*K18*K19)/(K20*K23*K35*K33*K34*K38*K27*(1/365)*((K32*K30)+(K36*K29))*(1/24))</f>
        <v>118.25181527979721</v>
      </c>
      <c r="L3" s="86" t="s">
        <v>110</v>
      </c>
      <c r="M3" s="145" t="s">
        <v>177</v>
      </c>
      <c r="N3" s="173">
        <f>1/((1/N17)+(1/N19)+(1/N20))</f>
        <v>1.0843171210175322E-3</v>
      </c>
      <c r="O3" s="140" t="s">
        <v>176</v>
      </c>
      <c r="P3" s="93" t="s">
        <v>83</v>
      </c>
      <c r="Q3" s="230">
        <f>(Q17*Q18*Q19)/(Q20*Q23*Q30*Q35*Q33*Q34*Q37*Q32*(1/24)*Q27*(1/365))</f>
        <v>123.48104128211992</v>
      </c>
      <c r="R3" s="94" t="s">
        <v>110</v>
      </c>
      <c r="S3" s="93" t="s">
        <v>83</v>
      </c>
      <c r="T3" s="230">
        <f>(T17*T18*T19)/(T20*T23*T30*T35*T33*T34*T37*T32*(1/24)*T27*(1/365))</f>
        <v>172.00909050599307</v>
      </c>
      <c r="U3" s="94" t="s">
        <v>110</v>
      </c>
      <c r="V3" s="159" t="s">
        <v>177</v>
      </c>
      <c r="W3" s="171">
        <f>1/((1/W17)+(1/W19)+(1/W20))</f>
        <v>1.2047968011305915E-3</v>
      </c>
      <c r="X3" s="157" t="s">
        <v>176</v>
      </c>
      <c r="Y3" s="77" t="s">
        <v>83</v>
      </c>
      <c r="Z3" s="224">
        <f>(Z17*Z18*Z19)/(Z20*Z23*Z30*Z35*Z33*Z34*Z37*Z32*(1/24)*Z27*(1/365))</f>
        <v>137.20115698013325</v>
      </c>
      <c r="AA3" s="78" t="s">
        <v>110</v>
      </c>
      <c r="AB3" s="77" t="s">
        <v>83</v>
      </c>
      <c r="AC3" s="224">
        <f>(AC17*AC18*AC19)/(AC20*AC23*AC30*AC35*AC33*AC34*AC37*AC32*(1/24)*AC27*(1/365))</f>
        <v>191.1212116733256</v>
      </c>
      <c r="AD3" s="78" t="s">
        <v>110</v>
      </c>
      <c r="AE3" s="148" t="s">
        <v>177</v>
      </c>
      <c r="AF3" s="174">
        <f>1/((1/AF17)+(1/AF19)+(1/AF20))</f>
        <v>1.0630226660260525E-3</v>
      </c>
      <c r="AG3" s="142" t="s">
        <v>176</v>
      </c>
      <c r="AH3" s="176" t="s">
        <v>83</v>
      </c>
      <c r="AI3" s="227">
        <f>(AI17*AI18*AI19)/(AI20*AI23*AI30*AI35*AI33*AI34*AI37*AI32*(1/24)*AI27*(1/365))</f>
        <v>308.70260320529979</v>
      </c>
      <c r="AJ3" s="177" t="s">
        <v>110</v>
      </c>
      <c r="AK3" s="176" t="s">
        <v>83</v>
      </c>
      <c r="AL3" s="227">
        <f>(AL17*AL18*AL19)/(AL20*AL23*AL30*AL35*AL33*AL34*AL37*AL32*(1/24)*AL27*(1/365))</f>
        <v>430.02272626498251</v>
      </c>
      <c r="AM3" s="177" t="s">
        <v>110</v>
      </c>
    </row>
    <row r="4" spans="1:39" x14ac:dyDescent="0.2">
      <c r="A4" s="375"/>
      <c r="B4" s="376"/>
      <c r="C4" s="376"/>
      <c r="D4" s="153" t="s">
        <v>175</v>
      </c>
      <c r="E4" s="160">
        <f>E2/E51</f>
        <v>3.108386443914756E-7</v>
      </c>
      <c r="F4" s="155" t="s">
        <v>178</v>
      </c>
      <c r="G4" s="85" t="s">
        <v>84</v>
      </c>
      <c r="H4" s="233">
        <f>(H17*H18*H19)/(H20*H24*H35*H33*H34*H37*H27*(1/365)*((H32*H30)+(H36*H29))*(1/24))</f>
        <v>118.17476764246376</v>
      </c>
      <c r="I4" s="86" t="s">
        <v>109</v>
      </c>
      <c r="J4" s="85" t="s">
        <v>84</v>
      </c>
      <c r="K4" s="233">
        <f>(K17*K18*K19)/(K20*K24*K35*K33*K34*K39*K27*(1/365)*((K32*K30)+(K36*K29))*(1/24))</f>
        <v>164.61745132595206</v>
      </c>
      <c r="L4" s="86" t="s">
        <v>109</v>
      </c>
      <c r="M4" s="144" t="s">
        <v>175</v>
      </c>
      <c r="N4" s="162">
        <f>N2/N41</f>
        <v>2.912858240823415E-7</v>
      </c>
      <c r="O4" s="146" t="s">
        <v>178</v>
      </c>
      <c r="P4" s="93" t="s">
        <v>84</v>
      </c>
      <c r="Q4" s="230">
        <f>(Q17*Q18*Q19)/(Q20*Q24*Q30*Q35*Q33*Q34*Q37*Q32*(1/24)*Q27*(1/365))</f>
        <v>171.89701701272779</v>
      </c>
      <c r="R4" s="94" t="s">
        <v>109</v>
      </c>
      <c r="S4" s="93" t="s">
        <v>84</v>
      </c>
      <c r="T4" s="230">
        <f>(T17*T18*T19)/(T20*T24*T30*T35*T33*T34*T37*T32*(1/24)*T27*(1/365))</f>
        <v>239.45254469872984</v>
      </c>
      <c r="U4" s="94" t="s">
        <v>109</v>
      </c>
      <c r="V4" s="158" t="s">
        <v>175</v>
      </c>
      <c r="W4" s="170">
        <f>W2/W41</f>
        <v>3.2365091564704614E-7</v>
      </c>
      <c r="X4" s="167" t="s">
        <v>178</v>
      </c>
      <c r="Y4" s="77" t="s">
        <v>84</v>
      </c>
      <c r="Z4" s="224">
        <f>(Z17*Z18*Z19)/(Z20*Z24*Z30*Z35*Z33*Z34*Z37*Z32*(1/24)*Z27*(1/365))</f>
        <v>190.99668556969758</v>
      </c>
      <c r="AA4" s="78" t="s">
        <v>109</v>
      </c>
      <c r="AB4" s="77" t="s">
        <v>84</v>
      </c>
      <c r="AC4" s="224">
        <f>(AC17*AC18*AC19)/(AC20*AC24*AC30*AC35*AC33*AC34*AC37*AC32*(1/24)*AC27*(1/365))</f>
        <v>266.05838299858868</v>
      </c>
      <c r="AD4" s="78" t="s">
        <v>109</v>
      </c>
      <c r="AE4" s="147" t="s">
        <v>175</v>
      </c>
      <c r="AF4" s="161">
        <f>AF2/AF41</f>
        <v>2.9124346549141053E-7</v>
      </c>
      <c r="AG4" s="149" t="s">
        <v>178</v>
      </c>
      <c r="AH4" s="176" t="s">
        <v>84</v>
      </c>
      <c r="AI4" s="227">
        <f>(AI17*AI18*AI19)/(AI20*AI24*AI30*AI35*AI33*AI34*AI37*AI32*(1/24)*AI27*(1/365))</f>
        <v>429.74254253181942</v>
      </c>
      <c r="AJ4" s="177" t="s">
        <v>109</v>
      </c>
      <c r="AK4" s="176" t="s">
        <v>84</v>
      </c>
      <c r="AL4" s="227">
        <f>(AL17*AL18*AL19)/(AL20*AL24*AL30*AL35*AL33*AL34*AL37*AL32*(1/24)*AL27*(1/365))</f>
        <v>598.6313617468245</v>
      </c>
      <c r="AM4" s="177" t="s">
        <v>109</v>
      </c>
    </row>
    <row r="5" spans="1:39" ht="15" thickBot="1" x14ac:dyDescent="0.25">
      <c r="A5" s="378"/>
      <c r="B5" s="379"/>
      <c r="C5" s="379"/>
      <c r="D5" s="154" t="s">
        <v>177</v>
      </c>
      <c r="E5" s="169">
        <f>E3/E51</f>
        <v>4.2815560984445999E-5</v>
      </c>
      <c r="F5" s="156" t="s">
        <v>178</v>
      </c>
      <c r="G5" s="85" t="s">
        <v>85</v>
      </c>
      <c r="H5" s="233">
        <f>(H17*H18*H19)/(H20*H25*H35*H33*H34*H37*H27*(1/365)*((H32*H30)+(H36*H29))*(1/24))</f>
        <v>62.60068772411595</v>
      </c>
      <c r="I5" s="86" t="s">
        <v>109</v>
      </c>
      <c r="J5" s="85" t="s">
        <v>85</v>
      </c>
      <c r="K5" s="233">
        <f>(K17*K18*K19)/(K20*K25*K35*K33*K34*K40*K27*(1/365)*((K32*K30)+(K36*K29))*(1/24))</f>
        <v>87.202757999693532</v>
      </c>
      <c r="L5" s="86" t="s">
        <v>109</v>
      </c>
      <c r="M5" s="145" t="s">
        <v>177</v>
      </c>
      <c r="N5" s="173">
        <f>N3/N41</f>
        <v>4.0119733477648728E-5</v>
      </c>
      <c r="O5" s="141" t="s">
        <v>178</v>
      </c>
      <c r="P5" s="93" t="s">
        <v>85</v>
      </c>
      <c r="Q5" s="230">
        <f>(Q17*Q18*Q19)/(Q20*Q25*Q30*Q35*Q33*Q34*Q37*Q32*(1/24)*Q27*(1/365))</f>
        <v>91.05896036349904</v>
      </c>
      <c r="R5" s="94" t="s">
        <v>109</v>
      </c>
      <c r="S5" s="93" t="s">
        <v>85</v>
      </c>
      <c r="T5" s="230">
        <f>(T17*T18*T19)/(T20*T25*T30*T35*T33*T34*T37*T32*(1/24)*T27*(1/365))</f>
        <v>126.8451317863542</v>
      </c>
      <c r="U5" s="94" t="s">
        <v>109</v>
      </c>
      <c r="V5" s="159" t="s">
        <v>177</v>
      </c>
      <c r="W5" s="171">
        <f>W3/W41</f>
        <v>4.4577481641831931E-5</v>
      </c>
      <c r="X5" s="168" t="s">
        <v>178</v>
      </c>
      <c r="Y5" s="77" t="s">
        <v>85</v>
      </c>
      <c r="Z5" s="224">
        <f>(Z17*Z18*Z19)/(Z20*Z25*Z30*Z35*Z33*Z34*Z37*Z32*(1/24)*Z27*(1/365))</f>
        <v>101.17662262611005</v>
      </c>
      <c r="AA5" s="78" t="s">
        <v>109</v>
      </c>
      <c r="AB5" s="77" t="s">
        <v>85</v>
      </c>
      <c r="AC5" s="224">
        <f>(AC17*AC18*AC19)/(AC20*AC25*AC30*AC35*AC33*AC34*AC37*AC32*(1/24)*AC27*(1/365))</f>
        <v>140.93903531817134</v>
      </c>
      <c r="AD5" s="78" t="s">
        <v>109</v>
      </c>
      <c r="AE5" s="148" t="s">
        <v>177</v>
      </c>
      <c r="AF5" s="174">
        <f>AF3/AF41</f>
        <v>3.933183864296398E-5</v>
      </c>
      <c r="AG5" s="143" t="s">
        <v>178</v>
      </c>
      <c r="AH5" s="176" t="s">
        <v>85</v>
      </c>
      <c r="AI5" s="227">
        <f>(AI17*AI18*AI19)/(AI20*AI25*AI30*AI35*AI33*AI34*AI37*AI32*(1/24)*AI27*(1/365))</f>
        <v>227.64740090874764</v>
      </c>
      <c r="AJ5" s="177" t="s">
        <v>109</v>
      </c>
      <c r="AK5" s="176" t="s">
        <v>85</v>
      </c>
      <c r="AL5" s="227">
        <f>(AL17*AL18*AL19)/(AL20*AL25*AL30*AL35*AL33*AL34*AL37*AL32*(1/24)*AL27*(1/365))</f>
        <v>317.11282946588545</v>
      </c>
      <c r="AM5" s="177" t="s">
        <v>109</v>
      </c>
    </row>
    <row r="6" spans="1:39" ht="15.75" thickTop="1" thickBot="1" x14ac:dyDescent="0.25">
      <c r="A6" s="28" t="s">
        <v>21</v>
      </c>
      <c r="B6" s="190">
        <v>1</v>
      </c>
      <c r="C6" s="28" t="s">
        <v>138</v>
      </c>
      <c r="D6" s="153" t="s">
        <v>175</v>
      </c>
      <c r="E6" s="160">
        <f>E2*E13*E50*E52</f>
        <v>2.4490187093426698E-15</v>
      </c>
      <c r="F6" s="155" t="s">
        <v>179</v>
      </c>
      <c r="G6" s="87" t="s">
        <v>86</v>
      </c>
      <c r="H6" s="234">
        <f>(H17*H18*H19)/(H20*H26*H35*H33*H34*H37*H27*(1/365)*((H32*H30)+(H36*H29))*(1/24))</f>
        <v>58.1966192410123</v>
      </c>
      <c r="I6" s="48" t="s">
        <v>109</v>
      </c>
      <c r="J6" s="87" t="s">
        <v>86</v>
      </c>
      <c r="K6" s="234">
        <f>(K17*K18*K19)/(K20*K26*K35*K33*K34*K41*K27*(1/365)*((K32*K30)+(K36*K29))*(1/24))</f>
        <v>81.067890602730145</v>
      </c>
      <c r="L6" s="48" t="s">
        <v>109</v>
      </c>
      <c r="M6" s="144" t="s">
        <v>175</v>
      </c>
      <c r="N6" s="162">
        <f>N2*N13*N40*N42</f>
        <v>2.2949670056002699E-15</v>
      </c>
      <c r="O6" s="146" t="s">
        <v>179</v>
      </c>
      <c r="P6" s="95" t="s">
        <v>86</v>
      </c>
      <c r="Q6" s="231">
        <f>(Q17*Q18*Q19)/(Q20*Q26*Q30*Q35*Q33*Q34*Q37*Q32*(1/24)*Q27*(1/365))</f>
        <v>84.65280234797649</v>
      </c>
      <c r="R6" s="96" t="s">
        <v>109</v>
      </c>
      <c r="S6" s="95" t="s">
        <v>86</v>
      </c>
      <c r="T6" s="231">
        <f>(T17*T18*T19)/(T20*T26*T30*T35*T33*T34*T37*T32*(1/24)*T27*(1/365))</f>
        <v>117.92135367073125</v>
      </c>
      <c r="U6" s="96" t="s">
        <v>109</v>
      </c>
      <c r="V6" s="158" t="s">
        <v>175</v>
      </c>
      <c r="W6" s="170">
        <f>W2*W13*W40*W42</f>
        <v>2.5499633395558554E-15</v>
      </c>
      <c r="X6" s="167" t="s">
        <v>179</v>
      </c>
      <c r="Y6" s="79" t="s">
        <v>86</v>
      </c>
      <c r="Z6" s="225">
        <f>(Z17*Z18*Z19)/(Z20*Z26*Z30*Z35*Z33*Z34*Z37*Z32*(1/24)*Z27*(1/365))</f>
        <v>94.058669275529425</v>
      </c>
      <c r="AA6" s="80" t="s">
        <v>109</v>
      </c>
      <c r="AB6" s="79" t="s">
        <v>86</v>
      </c>
      <c r="AC6" s="225">
        <f>(AC17*AC18*AC19)/(AC20*AC26*AC30*AC35*AC33*AC34*AC37*AC32*(1/24)*AC27*(1/365))</f>
        <v>131.02372630081251</v>
      </c>
      <c r="AD6" s="80" t="s">
        <v>109</v>
      </c>
      <c r="AE6" s="147" t="s">
        <v>175</v>
      </c>
      <c r="AF6" s="161">
        <f>AF2*AF13*AF40*AF42</f>
        <v>2.2946332730236969E-15</v>
      </c>
      <c r="AG6" s="149" t="s">
        <v>179</v>
      </c>
      <c r="AH6" s="178" t="s">
        <v>86</v>
      </c>
      <c r="AI6" s="228">
        <f>(AI17*AI18*AI19)/(AI20*AI26*AI30*AI35*AI33*AI34*AI37*AI32*(1/24)*AI27*(1/365))</f>
        <v>211.63200586994122</v>
      </c>
      <c r="AJ6" s="179" t="s">
        <v>109</v>
      </c>
      <c r="AK6" s="178" t="s">
        <v>86</v>
      </c>
      <c r="AL6" s="228">
        <f>(AL17*AL18*AL19)/(AL20*AL26*AL30*AL35*AL33*AL34*AL37*AL32*(1/24)*AL27*(1/365))</f>
        <v>294.80338417682816</v>
      </c>
      <c r="AM6" s="179" t="s">
        <v>109</v>
      </c>
    </row>
    <row r="7" spans="1:39" ht="15" thickBot="1" x14ac:dyDescent="0.25">
      <c r="A7" s="38" t="s">
        <v>22</v>
      </c>
      <c r="B7" s="151">
        <v>0.36297000000000001</v>
      </c>
      <c r="C7" s="40" t="s">
        <v>11</v>
      </c>
      <c r="D7" s="154" t="s">
        <v>177</v>
      </c>
      <c r="E7" s="169">
        <f>E3*E13*E50*E52</f>
        <v>3.3733292752960501E-13</v>
      </c>
      <c r="F7" s="156" t="s">
        <v>179</v>
      </c>
      <c r="G7" s="84" t="s">
        <v>82</v>
      </c>
      <c r="H7" s="232">
        <f>H2/H42</f>
        <v>2.1532749119174572</v>
      </c>
      <c r="I7" s="49" t="s">
        <v>105</v>
      </c>
      <c r="J7" s="84" t="s">
        <v>82</v>
      </c>
      <c r="K7" s="232">
        <f>K2/K42</f>
        <v>2.9995119523010185</v>
      </c>
      <c r="L7" s="49" t="s">
        <v>105</v>
      </c>
      <c r="M7" s="145" t="s">
        <v>177</v>
      </c>
      <c r="N7" s="173">
        <f>N3*N13*N40*N42</f>
        <v>3.1609318748945647E-13</v>
      </c>
      <c r="O7" s="141" t="s">
        <v>179</v>
      </c>
      <c r="P7" s="91" t="s">
        <v>82</v>
      </c>
      <c r="Q7" s="229">
        <f>Q2/Q42</f>
        <v>3.1321536868751334</v>
      </c>
      <c r="R7" s="92" t="s">
        <v>105</v>
      </c>
      <c r="S7" s="91" t="s">
        <v>82</v>
      </c>
      <c r="T7" s="229">
        <f>T2/T42</f>
        <v>4.3630900858170616</v>
      </c>
      <c r="U7" s="92" t="s">
        <v>105</v>
      </c>
      <c r="V7" s="159" t="s">
        <v>177</v>
      </c>
      <c r="W7" s="171">
        <f>W3*W13*W40*W42</f>
        <v>3.5121465276606277E-13</v>
      </c>
      <c r="X7" s="168" t="s">
        <v>179</v>
      </c>
      <c r="Y7" s="75" t="s">
        <v>82</v>
      </c>
      <c r="Z7" s="223">
        <f>Z2/Z42</f>
        <v>3.4801707631945922</v>
      </c>
      <c r="AA7" s="76" t="s">
        <v>105</v>
      </c>
      <c r="AB7" s="75" t="s">
        <v>82</v>
      </c>
      <c r="AC7" s="223">
        <f>AC2/AC42</f>
        <v>4.8478778731300682</v>
      </c>
      <c r="AD7" s="76" t="s">
        <v>105</v>
      </c>
      <c r="AE7" s="148" t="s">
        <v>177</v>
      </c>
      <c r="AF7" s="174">
        <f>AF3*AF13*AF40*AF42</f>
        <v>3.0988556425485228E-13</v>
      </c>
      <c r="AG7" s="143" t="s">
        <v>179</v>
      </c>
      <c r="AH7" s="175" t="s">
        <v>82</v>
      </c>
      <c r="AI7" s="226">
        <f>AI2/AI42</f>
        <v>7.8303842171878335</v>
      </c>
      <c r="AJ7" s="50" t="s">
        <v>105</v>
      </c>
      <c r="AK7" s="175" t="s">
        <v>82</v>
      </c>
      <c r="AL7" s="226">
        <f>AL2/AL42</f>
        <v>10.907725214542653</v>
      </c>
      <c r="AM7" s="50" t="s">
        <v>105</v>
      </c>
    </row>
    <row r="8" spans="1:39" x14ac:dyDescent="0.2">
      <c r="A8" s="38" t="s">
        <v>209</v>
      </c>
      <c r="B8" s="151">
        <v>8.8060000000000005E-4</v>
      </c>
      <c r="C8" s="38" t="s">
        <v>11</v>
      </c>
      <c r="D8" s="28" t="s">
        <v>21</v>
      </c>
      <c r="E8" s="32">
        <f>B6</f>
        <v>1</v>
      </c>
      <c r="F8" s="28" t="s">
        <v>138</v>
      </c>
      <c r="G8" s="85" t="s">
        <v>83</v>
      </c>
      <c r="H8" s="233">
        <f>H3/H42</f>
        <v>3.1409312026938276</v>
      </c>
      <c r="I8" s="86" t="s">
        <v>106</v>
      </c>
      <c r="J8" s="85" t="s">
        <v>83</v>
      </c>
      <c r="K8" s="233">
        <f>K3/K42</f>
        <v>4.3753171653525014</v>
      </c>
      <c r="L8" s="86" t="s">
        <v>106</v>
      </c>
      <c r="M8" s="28" t="s">
        <v>21</v>
      </c>
      <c r="N8" s="32">
        <f>B6</f>
        <v>1</v>
      </c>
      <c r="O8" s="28" t="s">
        <v>138</v>
      </c>
      <c r="P8" s="93" t="s">
        <v>83</v>
      </c>
      <c r="Q8" s="230">
        <f>Q3/Q42</f>
        <v>4.5687985274384415</v>
      </c>
      <c r="R8" s="94" t="s">
        <v>106</v>
      </c>
      <c r="S8" s="93" t="s">
        <v>83</v>
      </c>
      <c r="T8" s="230">
        <f>T3/T42</f>
        <v>6.3643363487217499</v>
      </c>
      <c r="U8" s="94" t="s">
        <v>106</v>
      </c>
      <c r="V8" s="28" t="s">
        <v>21</v>
      </c>
      <c r="W8" s="32">
        <f>B6</f>
        <v>1</v>
      </c>
      <c r="X8" s="28" t="s">
        <v>138</v>
      </c>
      <c r="Y8" s="77" t="s">
        <v>83</v>
      </c>
      <c r="Z8" s="224">
        <f>Z3/Z42</f>
        <v>5.0764428082649351</v>
      </c>
      <c r="AA8" s="78" t="s">
        <v>106</v>
      </c>
      <c r="AB8" s="77" t="s">
        <v>83</v>
      </c>
      <c r="AC8" s="224">
        <f>AC3/AC42</f>
        <v>7.0714848319130548</v>
      </c>
      <c r="AD8" s="78" t="s">
        <v>106</v>
      </c>
      <c r="AE8" s="28" t="s">
        <v>21</v>
      </c>
      <c r="AF8" s="32">
        <f>B6</f>
        <v>1</v>
      </c>
      <c r="AG8" s="28" t="s">
        <v>138</v>
      </c>
      <c r="AH8" s="176" t="s">
        <v>83</v>
      </c>
      <c r="AI8" s="227">
        <f>AI3/AI42</f>
        <v>11.421996318596104</v>
      </c>
      <c r="AJ8" s="177" t="s">
        <v>106</v>
      </c>
      <c r="AK8" s="176" t="s">
        <v>83</v>
      </c>
      <c r="AL8" s="227">
        <f>AL3/AL42</f>
        <v>15.910840871804369</v>
      </c>
      <c r="AM8" s="177" t="s">
        <v>106</v>
      </c>
    </row>
    <row r="9" spans="1:39" ht="19.5" x14ac:dyDescent="0.35">
      <c r="A9" s="38" t="s">
        <v>210</v>
      </c>
      <c r="B9" s="151">
        <v>7.5480000000000002E-4</v>
      </c>
      <c r="C9" s="38" t="s">
        <v>11</v>
      </c>
      <c r="D9" s="54" t="s">
        <v>206</v>
      </c>
      <c r="E9" s="32">
        <f>E38</f>
        <v>1</v>
      </c>
      <c r="G9" s="85" t="s">
        <v>84</v>
      </c>
      <c r="H9" s="233">
        <f>H4/H42</f>
        <v>4.3724664027711633</v>
      </c>
      <c r="I9" s="86" t="s">
        <v>105</v>
      </c>
      <c r="J9" s="85" t="s">
        <v>84</v>
      </c>
      <c r="K9" s="233">
        <f>K4/K42</f>
        <v>6.0908456990602327</v>
      </c>
      <c r="L9" s="86" t="s">
        <v>105</v>
      </c>
      <c r="M9" s="54" t="s">
        <v>207</v>
      </c>
      <c r="N9" s="32">
        <f>N30</f>
        <v>1</v>
      </c>
      <c r="P9" s="93" t="s">
        <v>84</v>
      </c>
      <c r="Q9" s="230">
        <f>Q4/Q42</f>
        <v>6.3601896294709341</v>
      </c>
      <c r="R9" s="94" t="s">
        <v>105</v>
      </c>
      <c r="S9" s="93" t="s">
        <v>84</v>
      </c>
      <c r="T9" s="230">
        <f>T4/T42</f>
        <v>8.8597441538530131</v>
      </c>
      <c r="U9" s="94" t="s">
        <v>105</v>
      </c>
      <c r="V9" s="54" t="s">
        <v>208</v>
      </c>
      <c r="W9" s="32">
        <f>W30</f>
        <v>1</v>
      </c>
      <c r="Y9" s="77" t="s">
        <v>84</v>
      </c>
      <c r="Z9" s="224">
        <f>Z4/Z42</f>
        <v>7.0668773660788178</v>
      </c>
      <c r="AA9" s="78" t="s">
        <v>105</v>
      </c>
      <c r="AB9" s="77" t="s">
        <v>84</v>
      </c>
      <c r="AC9" s="224">
        <f>AC4/AC42</f>
        <v>9.8441601709477915</v>
      </c>
      <c r="AD9" s="78" t="s">
        <v>105</v>
      </c>
      <c r="AE9" s="54" t="s">
        <v>140</v>
      </c>
      <c r="AF9" s="32">
        <f>AF30</f>
        <v>1</v>
      </c>
      <c r="AH9" s="176" t="s">
        <v>84</v>
      </c>
      <c r="AI9" s="227">
        <f>AI4/AI42</f>
        <v>15.900474073677335</v>
      </c>
      <c r="AJ9" s="177" t="s">
        <v>105</v>
      </c>
      <c r="AK9" s="176" t="s">
        <v>84</v>
      </c>
      <c r="AL9" s="227">
        <f>AL4/AL42</f>
        <v>22.14936038463253</v>
      </c>
      <c r="AM9" s="177" t="s">
        <v>105</v>
      </c>
    </row>
    <row r="10" spans="1:39" x14ac:dyDescent="0.2">
      <c r="A10" s="38" t="s">
        <v>113</v>
      </c>
      <c r="B10" s="151">
        <v>3.7173200000000003E-2</v>
      </c>
      <c r="C10" s="38" t="s">
        <v>198</v>
      </c>
      <c r="D10" s="54" t="s">
        <v>65</v>
      </c>
      <c r="E10" s="32">
        <f>B33</f>
        <v>0</v>
      </c>
      <c r="G10" s="85" t="s">
        <v>85</v>
      </c>
      <c r="H10" s="233">
        <f>H5/H42</f>
        <v>2.3162254457922926</v>
      </c>
      <c r="I10" s="86" t="s">
        <v>105</v>
      </c>
      <c r="J10" s="85" t="s">
        <v>85</v>
      </c>
      <c r="K10" s="233">
        <f>K5/K42</f>
        <v>3.226502045988664</v>
      </c>
      <c r="L10" s="86" t="s">
        <v>105</v>
      </c>
      <c r="M10" s="54" t="s">
        <v>65</v>
      </c>
      <c r="N10" s="32">
        <f>B33</f>
        <v>0</v>
      </c>
      <c r="P10" s="93" t="s">
        <v>85</v>
      </c>
      <c r="Q10" s="230">
        <f>Q5/Q42</f>
        <v>3.3691815334494679</v>
      </c>
      <c r="R10" s="94" t="s">
        <v>105</v>
      </c>
      <c r="S10" s="93" t="s">
        <v>85</v>
      </c>
      <c r="T10" s="230">
        <f>T5/T42</f>
        <v>4.6932698760951101</v>
      </c>
      <c r="U10" s="94" t="s">
        <v>105</v>
      </c>
      <c r="V10" s="54" t="s">
        <v>65</v>
      </c>
      <c r="W10" s="32">
        <f>B33</f>
        <v>0</v>
      </c>
      <c r="Y10" s="77" t="s">
        <v>85</v>
      </c>
      <c r="Z10" s="224">
        <f>Z5/Z42</f>
        <v>3.7435350371660756</v>
      </c>
      <c r="AA10" s="78" t="s">
        <v>105</v>
      </c>
      <c r="AB10" s="77" t="s">
        <v>85</v>
      </c>
      <c r="AC10" s="224">
        <f>AC5/AC42</f>
        <v>5.2147443067723449</v>
      </c>
      <c r="AD10" s="78" t="s">
        <v>105</v>
      </c>
      <c r="AE10" s="54" t="s">
        <v>65</v>
      </c>
      <c r="AF10" s="32">
        <f>B33</f>
        <v>0</v>
      </c>
      <c r="AH10" s="176" t="s">
        <v>85</v>
      </c>
      <c r="AI10" s="227">
        <f>AI5/AI42</f>
        <v>8.4229538336236711</v>
      </c>
      <c r="AJ10" s="177" t="s">
        <v>105</v>
      </c>
      <c r="AK10" s="176" t="s">
        <v>85</v>
      </c>
      <c r="AL10" s="227">
        <f>AL5/AL42</f>
        <v>11.733174690237774</v>
      </c>
      <c r="AM10" s="177" t="s">
        <v>105</v>
      </c>
    </row>
    <row r="11" spans="1:39" ht="15" thickBot="1" x14ac:dyDescent="0.25">
      <c r="A11" s="38" t="s">
        <v>23</v>
      </c>
      <c r="B11" s="151">
        <v>2.5484199999999999E-2</v>
      </c>
      <c r="C11" s="38" t="s">
        <v>199</v>
      </c>
      <c r="D11" s="54" t="s">
        <v>1</v>
      </c>
      <c r="E11" s="51">
        <f>0.693/E13</f>
        <v>1.6041666666666665E-3</v>
      </c>
      <c r="F11" s="54"/>
      <c r="G11" s="87" t="s">
        <v>86</v>
      </c>
      <c r="H11" s="234">
        <f>H6/H42</f>
        <v>2.1532749119174572</v>
      </c>
      <c r="I11" s="86" t="s">
        <v>105</v>
      </c>
      <c r="J11" s="87" t="s">
        <v>86</v>
      </c>
      <c r="K11" s="234">
        <f>K6/K42</f>
        <v>2.9995119523010185</v>
      </c>
      <c r="L11" s="86" t="s">
        <v>105</v>
      </c>
      <c r="M11" s="54" t="s">
        <v>1</v>
      </c>
      <c r="N11" s="51">
        <f>0.693/N13</f>
        <v>1.6041666666666665E-3</v>
      </c>
      <c r="P11" s="95" t="s">
        <v>86</v>
      </c>
      <c r="Q11" s="231">
        <f>Q6/Q42</f>
        <v>3.1321536868751334</v>
      </c>
      <c r="R11" s="94" t="s">
        <v>105</v>
      </c>
      <c r="S11" s="95" t="s">
        <v>86</v>
      </c>
      <c r="T11" s="231">
        <f>T6/T42</f>
        <v>4.3630900858170607</v>
      </c>
      <c r="U11" s="94" t="s">
        <v>105</v>
      </c>
      <c r="V11" s="54" t="s">
        <v>1</v>
      </c>
      <c r="W11" s="51">
        <f>0.693/W13</f>
        <v>1.6041666666666665E-3</v>
      </c>
      <c r="X11" s="54"/>
      <c r="Y11" s="79" t="s">
        <v>86</v>
      </c>
      <c r="Z11" s="225">
        <f>Z6/Z42</f>
        <v>3.4801707631945922</v>
      </c>
      <c r="AA11" s="78" t="s">
        <v>105</v>
      </c>
      <c r="AB11" s="79" t="s">
        <v>86</v>
      </c>
      <c r="AC11" s="225">
        <f>AC6/AC42</f>
        <v>4.8478778731300682</v>
      </c>
      <c r="AD11" s="78" t="s">
        <v>105</v>
      </c>
      <c r="AE11" s="54" t="s">
        <v>1</v>
      </c>
      <c r="AF11" s="51">
        <f>0.693/AF13</f>
        <v>1.6041666666666665E-3</v>
      </c>
      <c r="AG11" s="54"/>
      <c r="AH11" s="178" t="s">
        <v>86</v>
      </c>
      <c r="AI11" s="228">
        <f>AI6/AI42</f>
        <v>7.8303842171878335</v>
      </c>
      <c r="AJ11" s="177" t="s">
        <v>105</v>
      </c>
      <c r="AK11" s="178" t="s">
        <v>86</v>
      </c>
      <c r="AL11" s="228">
        <f>AL6/AL42</f>
        <v>10.907725214542653</v>
      </c>
      <c r="AM11" s="177" t="s">
        <v>105</v>
      </c>
    </row>
    <row r="12" spans="1:39" x14ac:dyDescent="0.2">
      <c r="A12" s="38" t="s">
        <v>114</v>
      </c>
      <c r="B12" s="151">
        <v>1.83064E-2</v>
      </c>
      <c r="C12" s="38" t="s">
        <v>198</v>
      </c>
      <c r="D12" s="28" t="s">
        <v>126</v>
      </c>
      <c r="E12" s="51">
        <f>(1-EXP(-E11*E9))</f>
        <v>1.6028806790575612E-3</v>
      </c>
      <c r="G12" s="84" t="s">
        <v>82</v>
      </c>
      <c r="H12" s="232">
        <f>H2*H21*H43*H44</f>
        <v>1.6965105982776762E-5</v>
      </c>
      <c r="I12" s="88" t="s">
        <v>107</v>
      </c>
      <c r="J12" s="84" t="s">
        <v>82</v>
      </c>
      <c r="K12" s="232">
        <f>K2*K21*K43*K44</f>
        <v>2.3632392634008033E-5</v>
      </c>
      <c r="L12" s="88" t="s">
        <v>107</v>
      </c>
      <c r="M12" s="28" t="s">
        <v>126</v>
      </c>
      <c r="N12" s="51">
        <f>(1-EXP(-N11*N9))</f>
        <v>1.6028806790575612E-3</v>
      </c>
      <c r="P12" s="91" t="s">
        <v>82</v>
      </c>
      <c r="Q12" s="229">
        <f>Q2*Q21*Q43*Q44</f>
        <v>2.4677443162547079E-5</v>
      </c>
      <c r="R12" s="97" t="s">
        <v>107</v>
      </c>
      <c r="S12" s="91" t="s">
        <v>82</v>
      </c>
      <c r="T12" s="229">
        <f>T2*T21*T43*T44</f>
        <v>3.4375678325428083E-5</v>
      </c>
      <c r="U12" s="97" t="s">
        <v>107</v>
      </c>
      <c r="V12" s="28" t="s">
        <v>126</v>
      </c>
      <c r="W12" s="51">
        <f>(1-EXP(-W11*W9))</f>
        <v>1.6028806790575612E-3</v>
      </c>
      <c r="Y12" s="75" t="s">
        <v>82</v>
      </c>
      <c r="Z12" s="223">
        <f>Z2*Z21*Z43*Z44</f>
        <v>2.7419381291718972E-5</v>
      </c>
      <c r="AA12" s="81" t="s">
        <v>107</v>
      </c>
      <c r="AB12" s="75" t="s">
        <v>82</v>
      </c>
      <c r="AC12" s="223">
        <f>AC2*AC21*AC43*AC44</f>
        <v>3.8195198139364538E-5</v>
      </c>
      <c r="AD12" s="81" t="s">
        <v>107</v>
      </c>
      <c r="AE12" s="28" t="s">
        <v>126</v>
      </c>
      <c r="AF12" s="51">
        <f>(1-EXP(-AF11*AF9))</f>
        <v>1.6028806790575612E-3</v>
      </c>
      <c r="AH12" s="175" t="s">
        <v>82</v>
      </c>
      <c r="AI12" s="226">
        <f>AI2*AI21*AI43*AI44</f>
        <v>6.1693607906367708E-5</v>
      </c>
      <c r="AJ12" s="180" t="s">
        <v>107</v>
      </c>
      <c r="AK12" s="175" t="s">
        <v>82</v>
      </c>
      <c r="AL12" s="226">
        <f>AL2*AL21*AL43*AL44</f>
        <v>8.5939195813570211E-5</v>
      </c>
      <c r="AM12" s="180" t="s">
        <v>107</v>
      </c>
    </row>
    <row r="13" spans="1:39" x14ac:dyDescent="0.2">
      <c r="A13" s="38" t="s">
        <v>115</v>
      </c>
      <c r="B13" s="151">
        <v>3.4557999999999998E-2</v>
      </c>
      <c r="C13" s="38" t="s">
        <v>198</v>
      </c>
      <c r="D13" s="33" t="s">
        <v>9</v>
      </c>
      <c r="E13" s="53">
        <f>B16</f>
        <v>432</v>
      </c>
      <c r="F13" s="54" t="s">
        <v>10</v>
      </c>
      <c r="G13" s="85" t="s">
        <v>83</v>
      </c>
      <c r="H13" s="233">
        <f>H3*H21*H43*H45</f>
        <v>2.4746598979719094E-8</v>
      </c>
      <c r="I13" s="86" t="s">
        <v>110</v>
      </c>
      <c r="J13" s="85" t="s">
        <v>83</v>
      </c>
      <c r="K13" s="233">
        <f>K3*K21*K43*K45</f>
        <v>3.4472012378748694E-8</v>
      </c>
      <c r="L13" s="86" t="s">
        <v>110</v>
      </c>
      <c r="M13" s="33" t="s">
        <v>9</v>
      </c>
      <c r="N13" s="53">
        <f>B16</f>
        <v>432</v>
      </c>
      <c r="P13" s="93" t="s">
        <v>83</v>
      </c>
      <c r="Q13" s="230">
        <f>Q3*Q21*Q43*Q45</f>
        <v>3.5996402875899396E-8</v>
      </c>
      <c r="R13" s="94" t="s">
        <v>222</v>
      </c>
      <c r="S13" s="93" t="s">
        <v>83</v>
      </c>
      <c r="T13" s="230">
        <f>T3*T21*T43*T45</f>
        <v>5.0142989206127864E-8</v>
      </c>
      <c r="U13" s="94" t="s">
        <v>222</v>
      </c>
      <c r="V13" s="33" t="s">
        <v>9</v>
      </c>
      <c r="W13" s="53">
        <f>B16</f>
        <v>432</v>
      </c>
      <c r="X13" s="54"/>
      <c r="Y13" s="77" t="s">
        <v>83</v>
      </c>
      <c r="Z13" s="224">
        <f>Z3*Z21*Z43*Z45</f>
        <v>3.9996003195443774E-8</v>
      </c>
      <c r="AA13" s="78" t="s">
        <v>110</v>
      </c>
      <c r="AB13" s="77" t="s">
        <v>83</v>
      </c>
      <c r="AC13" s="224">
        <f>AC3*AC21*AC43*AC45</f>
        <v>5.571443245125318E-8</v>
      </c>
      <c r="AD13" s="78" t="s">
        <v>110</v>
      </c>
      <c r="AE13" s="33" t="s">
        <v>9</v>
      </c>
      <c r="AF13" s="53">
        <f>B16</f>
        <v>432</v>
      </c>
      <c r="AG13" s="54"/>
      <c r="AH13" s="176" t="s">
        <v>83</v>
      </c>
      <c r="AI13" s="227">
        <f>AI3*AI21*AI43*AI45</f>
        <v>8.9991007189748483E-8</v>
      </c>
      <c r="AJ13" s="177" t="s">
        <v>110</v>
      </c>
      <c r="AK13" s="176" t="s">
        <v>83</v>
      </c>
      <c r="AL13" s="227">
        <f>AL3*AL21*AL43*AL45</f>
        <v>1.2535747301531962E-7</v>
      </c>
      <c r="AM13" s="177" t="s">
        <v>110</v>
      </c>
    </row>
    <row r="14" spans="1:39" x14ac:dyDescent="0.2">
      <c r="A14" s="38" t="s">
        <v>116</v>
      </c>
      <c r="B14" s="151">
        <v>3.7173200000000003E-2</v>
      </c>
      <c r="C14" s="38" t="s">
        <v>198</v>
      </c>
      <c r="D14" s="38" t="s">
        <v>209</v>
      </c>
      <c r="E14" s="53">
        <f>B8</f>
        <v>8.8060000000000005E-4</v>
      </c>
      <c r="F14" s="54" t="s">
        <v>11</v>
      </c>
      <c r="G14" s="85" t="s">
        <v>84</v>
      </c>
      <c r="H14" s="233">
        <f>H4*H21*H43*H44</f>
        <v>3.4449551944618118E-5</v>
      </c>
      <c r="I14" s="89" t="s">
        <v>107</v>
      </c>
      <c r="J14" s="85" t="s">
        <v>84</v>
      </c>
      <c r="K14" s="233">
        <f>K4*K21*K43*K44</f>
        <v>4.7988225858853052E-5</v>
      </c>
      <c r="L14" s="89" t="s">
        <v>107</v>
      </c>
      <c r="M14" s="38" t="s">
        <v>210</v>
      </c>
      <c r="N14" s="53">
        <f>B9</f>
        <v>7.5480000000000002E-4</v>
      </c>
      <c r="O14" s="28" t="s">
        <v>11</v>
      </c>
      <c r="P14" s="93" t="s">
        <v>84</v>
      </c>
      <c r="Q14" s="230">
        <f>Q4*Q21*Q43*Q44</f>
        <v>5.011031825864152E-5</v>
      </c>
      <c r="R14" s="98" t="s">
        <v>107</v>
      </c>
      <c r="S14" s="93" t="s">
        <v>84</v>
      </c>
      <c r="T14" s="230">
        <f>T4*T21*T43*T44</f>
        <v>6.9803673334287655E-5</v>
      </c>
      <c r="U14" s="98" t="s">
        <v>107</v>
      </c>
      <c r="V14" s="38" t="s">
        <v>210</v>
      </c>
      <c r="W14" s="53">
        <f>B9</f>
        <v>7.5480000000000002E-4</v>
      </c>
      <c r="X14" s="54" t="s">
        <v>11</v>
      </c>
      <c r="Y14" s="77" t="s">
        <v>84</v>
      </c>
      <c r="Z14" s="224">
        <f>Z4*Z21*Z43*Z44</f>
        <v>5.5678131398490583E-5</v>
      </c>
      <c r="AA14" s="82" t="s">
        <v>107</v>
      </c>
      <c r="AB14" s="77" t="s">
        <v>84</v>
      </c>
      <c r="AC14" s="224">
        <f>AC4*AC21*AC43*AC44</f>
        <v>7.7559637038097383E-5</v>
      </c>
      <c r="AD14" s="82" t="s">
        <v>107</v>
      </c>
      <c r="AE14" s="38" t="s">
        <v>210</v>
      </c>
      <c r="AF14" s="53">
        <f>B9</f>
        <v>7.5480000000000002E-4</v>
      </c>
      <c r="AG14" s="54" t="s">
        <v>11</v>
      </c>
      <c r="AH14" s="176" t="s">
        <v>84</v>
      </c>
      <c r="AI14" s="227">
        <f>AI4*AI21*AI43*AI44</f>
        <v>1.2527579564660377E-4</v>
      </c>
      <c r="AJ14" s="181" t="s">
        <v>107</v>
      </c>
      <c r="AK14" s="176" t="s">
        <v>84</v>
      </c>
      <c r="AL14" s="227">
        <f>AL4*AL21*AL43*AL44</f>
        <v>1.7450918333571908E-4</v>
      </c>
      <c r="AM14" s="181" t="s">
        <v>107</v>
      </c>
    </row>
    <row r="15" spans="1:39" x14ac:dyDescent="0.2">
      <c r="A15" s="38" t="s">
        <v>117</v>
      </c>
      <c r="B15" s="151">
        <v>125.5296</v>
      </c>
      <c r="C15" s="38" t="s">
        <v>200</v>
      </c>
      <c r="D15" s="54" t="s">
        <v>22</v>
      </c>
      <c r="E15" s="53">
        <f>B7</f>
        <v>0.36297000000000001</v>
      </c>
      <c r="F15" s="54" t="s">
        <v>201</v>
      </c>
      <c r="G15" s="85" t="s">
        <v>85</v>
      </c>
      <c r="H15" s="233">
        <f>H5*H21*H43*H44</f>
        <v>1.8248951840932847E-5</v>
      </c>
      <c r="I15" s="89" t="s">
        <v>107</v>
      </c>
      <c r="J15" s="85" t="s">
        <v>85</v>
      </c>
      <c r="K15" s="233">
        <f>K5*K21*K43*K44</f>
        <v>2.5420789914419459E-5</v>
      </c>
      <c r="L15" s="89" t="s">
        <v>107</v>
      </c>
      <c r="M15" s="54" t="s">
        <v>22</v>
      </c>
      <c r="N15" s="53">
        <f>B7</f>
        <v>0.36297000000000001</v>
      </c>
      <c r="O15" s="28" t="s">
        <v>201</v>
      </c>
      <c r="P15" s="93" t="s">
        <v>85</v>
      </c>
      <c r="Q15" s="230">
        <f>Q5*Q21*Q43*Q44</f>
        <v>2.6544925347820909E-5</v>
      </c>
      <c r="R15" s="98" t="s">
        <v>107</v>
      </c>
      <c r="S15" s="93" t="s">
        <v>85</v>
      </c>
      <c r="T15" s="230">
        <f>T5*T21*T43*T44</f>
        <v>3.6977081009514542E-5</v>
      </c>
      <c r="U15" s="98" t="s">
        <v>107</v>
      </c>
      <c r="V15" s="54" t="s">
        <v>22</v>
      </c>
      <c r="W15" s="53">
        <f>B7</f>
        <v>0.36297000000000001</v>
      </c>
      <c r="X15" s="54" t="s">
        <v>201</v>
      </c>
      <c r="Y15" s="77" t="s">
        <v>85</v>
      </c>
      <c r="Z15" s="224">
        <f>Z5*Z21*Z43*Z44</f>
        <v>2.9494361497578792E-5</v>
      </c>
      <c r="AA15" s="82" t="s">
        <v>107</v>
      </c>
      <c r="AB15" s="77" t="s">
        <v>85</v>
      </c>
      <c r="AC15" s="224">
        <f>AC5*AC21*AC43*AC44</f>
        <v>4.1085645566127272E-5</v>
      </c>
      <c r="AD15" s="82" t="s">
        <v>107</v>
      </c>
      <c r="AE15" s="54" t="s">
        <v>22</v>
      </c>
      <c r="AF15" s="53">
        <f>B7</f>
        <v>0.36297000000000001</v>
      </c>
      <c r="AG15" s="54" t="s">
        <v>201</v>
      </c>
      <c r="AH15" s="176" t="s">
        <v>85</v>
      </c>
      <c r="AI15" s="227">
        <f>AI5*AI21*AI43*AI44</f>
        <v>6.6362313369552285E-5</v>
      </c>
      <c r="AJ15" s="181" t="s">
        <v>107</v>
      </c>
      <c r="AK15" s="176" t="s">
        <v>85</v>
      </c>
      <c r="AL15" s="227">
        <f>AL5*AL21*AL43*AL44</f>
        <v>9.2442702523786344E-5</v>
      </c>
      <c r="AM15" s="181" t="s">
        <v>107</v>
      </c>
    </row>
    <row r="16" spans="1:39" ht="15" thickBot="1" x14ac:dyDescent="0.25">
      <c r="A16" s="41" t="s">
        <v>9</v>
      </c>
      <c r="B16" s="187">
        <v>432</v>
      </c>
      <c r="C16" s="39" t="s">
        <v>118</v>
      </c>
      <c r="D16" s="54" t="s">
        <v>23</v>
      </c>
      <c r="E16" s="53">
        <f>B11</f>
        <v>2.5484199999999999E-2</v>
      </c>
      <c r="F16" s="54" t="s">
        <v>198</v>
      </c>
      <c r="G16" s="87" t="s">
        <v>86</v>
      </c>
      <c r="H16" s="234">
        <f>H6*H21*H43*H44</f>
        <v>1.6965105982776762E-5</v>
      </c>
      <c r="I16" s="90" t="s">
        <v>107</v>
      </c>
      <c r="J16" s="87" t="s">
        <v>86</v>
      </c>
      <c r="K16" s="234">
        <f>K6*K21*K43*K44</f>
        <v>2.3632392634008033E-5</v>
      </c>
      <c r="L16" s="90" t="s">
        <v>107</v>
      </c>
      <c r="M16" s="54" t="s">
        <v>23</v>
      </c>
      <c r="N16" s="53">
        <f>B11</f>
        <v>2.5484199999999999E-2</v>
      </c>
      <c r="O16" s="28" t="s">
        <v>201</v>
      </c>
      <c r="P16" s="95" t="s">
        <v>86</v>
      </c>
      <c r="Q16" s="231">
        <f>Q6*Q21*Q43*Q44</f>
        <v>2.4677443162547079E-5</v>
      </c>
      <c r="R16" s="99" t="s">
        <v>107</v>
      </c>
      <c r="S16" s="95" t="s">
        <v>86</v>
      </c>
      <c r="T16" s="231">
        <f>T6*T21*T43*T44</f>
        <v>3.4375678325428076E-5</v>
      </c>
      <c r="U16" s="99" t="s">
        <v>107</v>
      </c>
      <c r="V16" s="54" t="s">
        <v>23</v>
      </c>
      <c r="W16" s="53">
        <f>B11</f>
        <v>2.5484199999999999E-2</v>
      </c>
      <c r="X16" s="54" t="s">
        <v>201</v>
      </c>
      <c r="Y16" s="79" t="s">
        <v>86</v>
      </c>
      <c r="Z16" s="225">
        <f>Z6*Z21*Z43*Z44</f>
        <v>2.7419381291718972E-5</v>
      </c>
      <c r="AA16" s="83" t="s">
        <v>107</v>
      </c>
      <c r="AB16" s="79" t="s">
        <v>86</v>
      </c>
      <c r="AC16" s="225">
        <f>AC6*AC21*AC43*AC44</f>
        <v>3.8195198139364538E-5</v>
      </c>
      <c r="AD16" s="83" t="s">
        <v>107</v>
      </c>
      <c r="AE16" s="54" t="s">
        <v>23</v>
      </c>
      <c r="AF16" s="53">
        <f>B11</f>
        <v>2.5484199999999999E-2</v>
      </c>
      <c r="AG16" s="54" t="s">
        <v>201</v>
      </c>
      <c r="AH16" s="178" t="s">
        <v>86</v>
      </c>
      <c r="AI16" s="228">
        <f>AI6*AI21*AI43*AI44</f>
        <v>6.1693607906367708E-5</v>
      </c>
      <c r="AJ16" s="182" t="s">
        <v>107</v>
      </c>
      <c r="AK16" s="178" t="s">
        <v>86</v>
      </c>
      <c r="AL16" s="228">
        <f>AL6*AL21*AL43*AL44</f>
        <v>8.5939195813570211E-5</v>
      </c>
      <c r="AM16" s="182" t="s">
        <v>107</v>
      </c>
    </row>
    <row r="17" spans="1:39" x14ac:dyDescent="0.2">
      <c r="A17" s="38" t="s">
        <v>141</v>
      </c>
      <c r="B17" s="331">
        <v>1</v>
      </c>
      <c r="C17" s="40"/>
      <c r="D17" s="28" t="s">
        <v>92</v>
      </c>
      <c r="E17" s="47">
        <f>(E8*E9*E11)/(E12*E14*E22)</f>
        <v>2.8925210651645761E-2</v>
      </c>
      <c r="F17" s="28" t="s">
        <v>94</v>
      </c>
      <c r="G17" t="s">
        <v>21</v>
      </c>
      <c r="H17" s="220">
        <f>B6</f>
        <v>1</v>
      </c>
      <c r="J17" t="s">
        <v>21</v>
      </c>
      <c r="K17" s="220">
        <f>B6</f>
        <v>1</v>
      </c>
      <c r="M17" s="28" t="s">
        <v>92</v>
      </c>
      <c r="N17" s="47">
        <f>(N8*N9*N11)/(N12*N14*N22*N28)</f>
        <v>2.7059534564614608E-2</v>
      </c>
      <c r="O17" s="28" t="s">
        <v>94</v>
      </c>
      <c r="P17" t="s">
        <v>21</v>
      </c>
      <c r="Q17" s="220">
        <f>B6</f>
        <v>1</v>
      </c>
      <c r="S17" t="s">
        <v>21</v>
      </c>
      <c r="T17" s="220">
        <f>B6</f>
        <v>1</v>
      </c>
      <c r="V17" s="28" t="s">
        <v>92</v>
      </c>
      <c r="W17" s="47">
        <f>(W8*W9*W11)/(W12*W14*W22*W28)</f>
        <v>3.0066149516238455E-2</v>
      </c>
      <c r="X17" s="28" t="s">
        <v>94</v>
      </c>
      <c r="Y17" t="s">
        <v>21</v>
      </c>
      <c r="Z17" s="220">
        <f>B6</f>
        <v>1</v>
      </c>
      <c r="AB17" t="s">
        <v>21</v>
      </c>
      <c r="AC17" s="220">
        <f>B6</f>
        <v>1</v>
      </c>
      <c r="AE17" s="28" t="s">
        <v>92</v>
      </c>
      <c r="AF17" s="47">
        <f>(AF8*AF9*AF11)/(AF12*AF14*AF22*AF28)</f>
        <v>1.8039689709743074E-2</v>
      </c>
      <c r="AG17" s="28" t="s">
        <v>94</v>
      </c>
      <c r="AH17" t="s">
        <v>21</v>
      </c>
      <c r="AI17" s="220">
        <f>B6</f>
        <v>1</v>
      </c>
      <c r="AK17" t="s">
        <v>21</v>
      </c>
      <c r="AL17" s="220">
        <f>B6</f>
        <v>1</v>
      </c>
    </row>
    <row r="18" spans="1:39" ht="19.5" x14ac:dyDescent="0.35">
      <c r="A18" s="38" t="s">
        <v>142</v>
      </c>
      <c r="B18" s="331">
        <v>1</v>
      </c>
      <c r="C18" s="40"/>
      <c r="D18" s="28" t="s">
        <v>166</v>
      </c>
      <c r="E18" s="46">
        <f>(E8*E9*E11)/(E12*E15*E23*(1/E48)*E47*(E41+E42)*(1/24))</f>
        <v>8.4034857502477989E-6</v>
      </c>
      <c r="F18" s="28" t="s">
        <v>94</v>
      </c>
      <c r="G18" s="54" t="s">
        <v>206</v>
      </c>
      <c r="H18" s="221">
        <f>H28</f>
        <v>1</v>
      </c>
      <c r="I18" t="s">
        <v>205</v>
      </c>
      <c r="J18" s="54" t="s">
        <v>206</v>
      </c>
      <c r="K18" s="221">
        <f>K28</f>
        <v>1</v>
      </c>
      <c r="L18" t="s">
        <v>205</v>
      </c>
      <c r="M18" s="28" t="s">
        <v>166</v>
      </c>
      <c r="N18" s="46">
        <f>(N8*N9*N11)/(N12*N15*N29*N25*N28*(1/N38)*N37)</f>
        <v>7.8748812860999599E-6</v>
      </c>
      <c r="O18" s="28" t="s">
        <v>94</v>
      </c>
      <c r="P18" s="54" t="s">
        <v>207</v>
      </c>
      <c r="Q18" s="221">
        <f>Q28</f>
        <v>1</v>
      </c>
      <c r="R18" t="s">
        <v>205</v>
      </c>
      <c r="S18" s="54" t="s">
        <v>207</v>
      </c>
      <c r="T18" s="221">
        <f>T28</f>
        <v>1</v>
      </c>
      <c r="U18" t="s">
        <v>205</v>
      </c>
      <c r="V18" s="28" t="s">
        <v>166</v>
      </c>
      <c r="W18" s="46">
        <f>(W8*W9*W11)/(W12*W15*W29*W25*W28*(1/W38)*W37)</f>
        <v>8.7498680956666233E-6</v>
      </c>
      <c r="X18" s="28" t="s">
        <v>94</v>
      </c>
      <c r="Y18" s="54" t="s">
        <v>208</v>
      </c>
      <c r="Z18" s="221">
        <f>Z28</f>
        <v>1</v>
      </c>
      <c r="AA18" t="s">
        <v>205</v>
      </c>
      <c r="AB18" s="54" t="s">
        <v>208</v>
      </c>
      <c r="AC18" s="221">
        <f>AC28</f>
        <v>1</v>
      </c>
      <c r="AD18" t="s">
        <v>205</v>
      </c>
      <c r="AE18" s="28" t="s">
        <v>166</v>
      </c>
      <c r="AF18" s="46">
        <f>(AF8*AF9*AF11)/(AF12*AF15*AF29*AF25*AF28*(1/AF38)*AF37)</f>
        <v>7.8748812860999599E-6</v>
      </c>
      <c r="AG18" s="28" t="s">
        <v>94</v>
      </c>
      <c r="AH18" s="54" t="s">
        <v>140</v>
      </c>
      <c r="AI18" s="221">
        <f>AI28</f>
        <v>1</v>
      </c>
      <c r="AJ18" t="s">
        <v>205</v>
      </c>
      <c r="AK18" s="54" t="s">
        <v>140</v>
      </c>
      <c r="AL18" s="221">
        <f>AL28</f>
        <v>1</v>
      </c>
      <c r="AM18" t="s">
        <v>205</v>
      </c>
    </row>
    <row r="19" spans="1:39" x14ac:dyDescent="0.2">
      <c r="A19" s="38" t="s">
        <v>143</v>
      </c>
      <c r="B19" s="331">
        <v>1</v>
      </c>
      <c r="C19" s="40"/>
      <c r="D19" s="28" t="s">
        <v>165</v>
      </c>
      <c r="E19" s="46">
        <f>(E8*E9*E11)/(E12*E15*E23*(1/E49)*E47*(E41+E42)*(1/24))</f>
        <v>1.2054126648623972E-3</v>
      </c>
      <c r="F19" s="28" t="s">
        <v>94</v>
      </c>
      <c r="G19" s="29" t="s">
        <v>1</v>
      </c>
      <c r="H19" s="51">
        <f>0.693/H21</f>
        <v>1.6041666666666665E-3</v>
      </c>
      <c r="I19" s="29"/>
      <c r="J19" s="29" t="s">
        <v>1</v>
      </c>
      <c r="K19" s="51">
        <f>0.693/K21</f>
        <v>1.6041666666666665E-3</v>
      </c>
      <c r="M19" s="28" t="s">
        <v>165</v>
      </c>
      <c r="N19" s="46">
        <f>(N8*N9*N11)/(N12*N15*N29*N25*N28*(1/N39)*N37)</f>
        <v>1.1295885920045577E-3</v>
      </c>
      <c r="O19" s="28" t="s">
        <v>94</v>
      </c>
      <c r="P19" s="29" t="s">
        <v>1</v>
      </c>
      <c r="Q19" s="51">
        <f>0.693/Q21</f>
        <v>1.6041666666666665E-3</v>
      </c>
      <c r="R19" s="29"/>
      <c r="S19" s="29" t="s">
        <v>1</v>
      </c>
      <c r="T19" s="51">
        <f>0.693/T21</f>
        <v>1.6041666666666665E-3</v>
      </c>
      <c r="V19" s="28" t="s">
        <v>165</v>
      </c>
      <c r="W19" s="46">
        <f>(W8*W9*W11)/(W12*W15*W29*W25*W28*(1/W39)*W37)</f>
        <v>1.2550984355606198E-3</v>
      </c>
      <c r="X19" s="28" t="s">
        <v>94</v>
      </c>
      <c r="Y19" s="29" t="s">
        <v>1</v>
      </c>
      <c r="Z19" s="51">
        <f>0.693/Z21</f>
        <v>1.6041666666666665E-3</v>
      </c>
      <c r="AB19" s="29" t="s">
        <v>1</v>
      </c>
      <c r="AC19" s="51">
        <f>0.693/AC21</f>
        <v>1.6041666666666665E-3</v>
      </c>
      <c r="AD19" s="29"/>
      <c r="AE19" s="28" t="s">
        <v>165</v>
      </c>
      <c r="AF19" s="46">
        <f>(AF8*AF9*AF11)/(AF12*AF15*AF29*AF25*AF28*(1/AF39)*AF37)</f>
        <v>1.1295885920045577E-3</v>
      </c>
      <c r="AG19" s="28" t="s">
        <v>94</v>
      </c>
      <c r="AH19" s="29" t="s">
        <v>1</v>
      </c>
      <c r="AI19" s="51">
        <f>0.693/AI21</f>
        <v>1.6041666666666665E-3</v>
      </c>
      <c r="AJ19" s="29"/>
      <c r="AK19" s="29" t="s">
        <v>1</v>
      </c>
      <c r="AL19" s="51">
        <f>0.693/AL21</f>
        <v>1.6041666666666665E-3</v>
      </c>
    </row>
    <row r="20" spans="1:39" x14ac:dyDescent="0.2">
      <c r="A20" s="38" t="s">
        <v>144</v>
      </c>
      <c r="B20" s="331">
        <v>1</v>
      </c>
      <c r="D20" s="28" t="s">
        <v>93</v>
      </c>
      <c r="E20" s="45">
        <f>(E8*E9*E11)/(E12*E16*E39*E40*E28*(1/365)*E46*((E41*E44)+(E42*E45))*(1/24))</f>
        <v>118.25181527979721</v>
      </c>
      <c r="F20" s="28" t="s">
        <v>94</v>
      </c>
      <c r="G20" s="28" t="s">
        <v>126</v>
      </c>
      <c r="H20" s="51">
        <f>(1-EXP(-H19*H18))</f>
        <v>1.6028806790575612E-3</v>
      </c>
      <c r="J20" s="28" t="s">
        <v>126</v>
      </c>
      <c r="K20" s="51">
        <f>(1-EXP(-K19*K18))</f>
        <v>1.6028806790575612E-3</v>
      </c>
      <c r="M20" s="28" t="s">
        <v>93</v>
      </c>
      <c r="N20" s="45">
        <f>(N8*N9*N11)/(N12*N16*N31*N32*N36*N28*(1/365)*N34*N25*(1/24))</f>
        <v>172.00909050599304</v>
      </c>
      <c r="O20" s="28" t="s">
        <v>94</v>
      </c>
      <c r="P20" s="28" t="s">
        <v>126</v>
      </c>
      <c r="Q20" s="51">
        <f>(1-EXP(-Q19*Q18))</f>
        <v>1.6028806790575612E-3</v>
      </c>
      <c r="S20" s="28" t="s">
        <v>126</v>
      </c>
      <c r="T20" s="51">
        <f>(1-EXP(-T19*T18))</f>
        <v>1.6028806790575612E-3</v>
      </c>
      <c r="V20" s="28" t="s">
        <v>93</v>
      </c>
      <c r="W20" s="45">
        <f>(W8*W9*W11)/(W12*W16*W31*W32*W36*W28*(1/365)*W34*W25*(1/24))</f>
        <v>191.1212116733256</v>
      </c>
      <c r="X20" s="28" t="s">
        <v>94</v>
      </c>
      <c r="Y20" s="28" t="s">
        <v>126</v>
      </c>
      <c r="Z20" s="51">
        <f>(1-EXP(-Z19*Z18))</f>
        <v>1.6028806790575612E-3</v>
      </c>
      <c r="AB20" s="28" t="s">
        <v>126</v>
      </c>
      <c r="AC20" s="51">
        <f>(1-EXP(-AC19*AC18))</f>
        <v>1.6028806790575612E-3</v>
      </c>
      <c r="AE20" s="28" t="s">
        <v>93</v>
      </c>
      <c r="AF20" s="45">
        <f>(AF8*AF9*AF11)/(AF12*AF16*AF35*AF31*AF32*AF36*AF25*(1/24)*AF28*(1/365))</f>
        <v>430.02272626498251</v>
      </c>
      <c r="AG20" s="28" t="s">
        <v>94</v>
      </c>
      <c r="AH20" s="28" t="s">
        <v>126</v>
      </c>
      <c r="AI20" s="51">
        <f>(1-EXP(-AI19*AI18))</f>
        <v>1.6028806790575612E-3</v>
      </c>
      <c r="AK20" s="28" t="s">
        <v>126</v>
      </c>
      <c r="AL20" s="51">
        <f>(1-EXP(-AL19*AL18))</f>
        <v>1.6028806790575612E-3</v>
      </c>
    </row>
    <row r="21" spans="1:39" x14ac:dyDescent="0.2">
      <c r="A21" s="38" t="s">
        <v>145</v>
      </c>
      <c r="B21" s="331">
        <v>1</v>
      </c>
      <c r="G21" s="56" t="s">
        <v>9</v>
      </c>
      <c r="H21" s="53">
        <f>B16</f>
        <v>432</v>
      </c>
      <c r="I21" s="2" t="s">
        <v>10</v>
      </c>
      <c r="J21" s="56" t="s">
        <v>9</v>
      </c>
      <c r="K21" s="43">
        <f>B16</f>
        <v>432</v>
      </c>
      <c r="L21" s="1" t="s">
        <v>10</v>
      </c>
      <c r="P21" s="56" t="s">
        <v>9</v>
      </c>
      <c r="Q21" s="53">
        <f>B16</f>
        <v>432</v>
      </c>
      <c r="R21" s="2" t="s">
        <v>10</v>
      </c>
      <c r="S21" s="56" t="s">
        <v>9</v>
      </c>
      <c r="T21" s="43">
        <f>B16</f>
        <v>432</v>
      </c>
      <c r="U21" s="1" t="s">
        <v>10</v>
      </c>
      <c r="Y21" s="56" t="s">
        <v>9</v>
      </c>
      <c r="Z21" s="43">
        <f>B16</f>
        <v>432</v>
      </c>
      <c r="AA21" s="1" t="s">
        <v>10</v>
      </c>
      <c r="AB21" s="56" t="s">
        <v>9</v>
      </c>
      <c r="AC21" s="53">
        <f>B16</f>
        <v>432</v>
      </c>
      <c r="AD21" s="2" t="s">
        <v>10</v>
      </c>
      <c r="AH21" s="56" t="s">
        <v>9</v>
      </c>
      <c r="AI21" s="53">
        <f>B16</f>
        <v>432</v>
      </c>
      <c r="AJ21" s="2" t="s">
        <v>10</v>
      </c>
      <c r="AK21" s="56" t="s">
        <v>9</v>
      </c>
      <c r="AL21" s="43">
        <f>B16</f>
        <v>432</v>
      </c>
      <c r="AM21" s="1" t="s">
        <v>10</v>
      </c>
    </row>
    <row r="22" spans="1:39" x14ac:dyDescent="0.2">
      <c r="A22" s="40" t="s">
        <v>102</v>
      </c>
      <c r="B22" s="150">
        <v>241</v>
      </c>
      <c r="C22" s="40" t="s">
        <v>103</v>
      </c>
      <c r="D22" s="60" t="s">
        <v>220</v>
      </c>
      <c r="E22" s="61">
        <f>(E24*E27*E29*E25*E31*E33*E35)+(E24*E26*E28*E25*E32*E30*E34)</f>
        <v>39291</v>
      </c>
      <c r="F22" s="62" t="s">
        <v>24</v>
      </c>
      <c r="G22" s="38" t="s">
        <v>113</v>
      </c>
      <c r="H22" s="220">
        <f>B10</f>
        <v>3.7173200000000003E-2</v>
      </c>
      <c r="I22" s="38" t="s">
        <v>198</v>
      </c>
      <c r="J22" s="38" t="s">
        <v>113</v>
      </c>
      <c r="K22" s="220">
        <f>B10</f>
        <v>3.7173200000000003E-2</v>
      </c>
      <c r="L22" s="38" t="s">
        <v>198</v>
      </c>
      <c r="M22" s="60" t="s">
        <v>217</v>
      </c>
      <c r="N22" s="71">
        <f>N23*N25*N24*N26*N27</f>
        <v>196</v>
      </c>
      <c r="O22" s="62" t="s">
        <v>24</v>
      </c>
      <c r="P22" s="38" t="s">
        <v>113</v>
      </c>
      <c r="Q22" s="220">
        <f>B10</f>
        <v>3.7173200000000003E-2</v>
      </c>
      <c r="R22" s="38" t="s">
        <v>198</v>
      </c>
      <c r="S22" s="38" t="s">
        <v>113</v>
      </c>
      <c r="T22" s="220">
        <f>B10</f>
        <v>3.7173200000000003E-2</v>
      </c>
      <c r="U22" s="38" t="s">
        <v>198</v>
      </c>
      <c r="V22" s="60" t="s">
        <v>218</v>
      </c>
      <c r="W22" s="71">
        <f>W23*W25*W24*W26*W27</f>
        <v>196</v>
      </c>
      <c r="X22" s="62" t="s">
        <v>24</v>
      </c>
      <c r="Y22" s="38" t="s">
        <v>113</v>
      </c>
      <c r="Z22" s="220">
        <f>B10</f>
        <v>3.7173200000000003E-2</v>
      </c>
      <c r="AA22" s="38" t="s">
        <v>198</v>
      </c>
      <c r="AB22" s="38" t="s">
        <v>113</v>
      </c>
      <c r="AC22" s="220">
        <f>B10</f>
        <v>3.7173200000000003E-2</v>
      </c>
      <c r="AD22" s="38" t="s">
        <v>198</v>
      </c>
      <c r="AE22" s="60" t="s">
        <v>219</v>
      </c>
      <c r="AF22" s="71">
        <f>AF23*AF25*AF24*AF26*AF27</f>
        <v>294</v>
      </c>
      <c r="AG22" s="62" t="s">
        <v>24</v>
      </c>
      <c r="AH22" s="38" t="s">
        <v>113</v>
      </c>
      <c r="AI22" s="220">
        <f>B10</f>
        <v>3.7173200000000003E-2</v>
      </c>
      <c r="AJ22" s="38" t="s">
        <v>198</v>
      </c>
      <c r="AK22" s="38" t="s">
        <v>113</v>
      </c>
      <c r="AL22" s="220">
        <f>B10</f>
        <v>3.7173200000000003E-2</v>
      </c>
      <c r="AM22" s="38" t="s">
        <v>198</v>
      </c>
    </row>
    <row r="23" spans="1:39" x14ac:dyDescent="0.2">
      <c r="A23" t="s">
        <v>90</v>
      </c>
      <c r="B23" s="188">
        <v>1.393</v>
      </c>
      <c r="D23" s="63" t="s">
        <v>221</v>
      </c>
      <c r="E23" s="64">
        <f>(E37*E29*E31)+(E36*E28*E30)</f>
        <v>6195</v>
      </c>
      <c r="F23" s="65" t="s">
        <v>25</v>
      </c>
      <c r="G23" s="38" t="s">
        <v>23</v>
      </c>
      <c r="H23" s="220">
        <f>B11</f>
        <v>2.5484199999999999E-2</v>
      </c>
      <c r="I23" s="38" t="s">
        <v>199</v>
      </c>
      <c r="J23" s="38" t="s">
        <v>23</v>
      </c>
      <c r="K23" s="220">
        <f>B11</f>
        <v>2.5484199999999999E-2</v>
      </c>
      <c r="L23" s="38" t="s">
        <v>199</v>
      </c>
      <c r="M23" s="63" t="s">
        <v>162</v>
      </c>
      <c r="N23" s="66">
        <f>B27</f>
        <v>0.5</v>
      </c>
      <c r="O23" s="65"/>
      <c r="P23" s="38" t="s">
        <v>23</v>
      </c>
      <c r="Q23" s="220">
        <f>B11</f>
        <v>2.5484199999999999E-2</v>
      </c>
      <c r="R23" s="38" t="s">
        <v>199</v>
      </c>
      <c r="S23" s="38" t="s">
        <v>23</v>
      </c>
      <c r="T23" s="220">
        <f>B11</f>
        <v>2.5484199999999999E-2</v>
      </c>
      <c r="U23" s="38" t="s">
        <v>199</v>
      </c>
      <c r="V23" s="63" t="s">
        <v>162</v>
      </c>
      <c r="W23" s="66">
        <f>B27</f>
        <v>0.5</v>
      </c>
      <c r="X23" s="65"/>
      <c r="Y23" s="38" t="s">
        <v>23</v>
      </c>
      <c r="Z23" s="220">
        <f>B11</f>
        <v>2.5484199999999999E-2</v>
      </c>
      <c r="AA23" s="38" t="s">
        <v>199</v>
      </c>
      <c r="AB23" s="38" t="s">
        <v>23</v>
      </c>
      <c r="AC23" s="220">
        <f>B11</f>
        <v>2.5484199999999999E-2</v>
      </c>
      <c r="AD23" s="38" t="s">
        <v>199</v>
      </c>
      <c r="AE23" s="63" t="s">
        <v>162</v>
      </c>
      <c r="AF23" s="66">
        <f>B27</f>
        <v>0.5</v>
      </c>
      <c r="AG23" s="65"/>
      <c r="AH23" s="38" t="s">
        <v>23</v>
      </c>
      <c r="AI23" s="220">
        <f>B11</f>
        <v>2.5484199999999999E-2</v>
      </c>
      <c r="AJ23" s="38" t="s">
        <v>199</v>
      </c>
      <c r="AK23" s="38" t="s">
        <v>23</v>
      </c>
      <c r="AL23" s="220">
        <f>B11</f>
        <v>2.5484199999999999E-2</v>
      </c>
      <c r="AM23" s="38" t="s">
        <v>199</v>
      </c>
    </row>
    <row r="24" spans="1:39" x14ac:dyDescent="0.2">
      <c r="A24" s="28" t="s">
        <v>139</v>
      </c>
      <c r="B24" s="55">
        <v>1</v>
      </c>
      <c r="D24" s="63" t="s">
        <v>162</v>
      </c>
      <c r="E24" s="66">
        <f>B27</f>
        <v>0.5</v>
      </c>
      <c r="F24" s="65"/>
      <c r="G24" s="38" t="s">
        <v>114</v>
      </c>
      <c r="H24" s="220">
        <f>B12</f>
        <v>1.83064E-2</v>
      </c>
      <c r="I24" s="38" t="s">
        <v>198</v>
      </c>
      <c r="J24" s="38" t="s">
        <v>114</v>
      </c>
      <c r="K24" s="220">
        <f>B12</f>
        <v>1.83064E-2</v>
      </c>
      <c r="L24" s="38" t="s">
        <v>198</v>
      </c>
      <c r="M24" s="63" t="s">
        <v>119</v>
      </c>
      <c r="N24" s="66">
        <f>B28</f>
        <v>0.5</v>
      </c>
      <c r="O24" s="65"/>
      <c r="P24" s="38" t="s">
        <v>114</v>
      </c>
      <c r="Q24" s="220">
        <f>B12</f>
        <v>1.83064E-2</v>
      </c>
      <c r="R24" s="38" t="s">
        <v>198</v>
      </c>
      <c r="S24" s="38" t="s">
        <v>114</v>
      </c>
      <c r="T24" s="220">
        <f>B12</f>
        <v>1.83064E-2</v>
      </c>
      <c r="U24" s="38" t="s">
        <v>198</v>
      </c>
      <c r="V24" s="63" t="s">
        <v>119</v>
      </c>
      <c r="W24" s="66">
        <f>B28</f>
        <v>0.5</v>
      </c>
      <c r="X24" s="65"/>
      <c r="Y24" s="38" t="s">
        <v>114</v>
      </c>
      <c r="Z24" s="220">
        <f>B12</f>
        <v>1.83064E-2</v>
      </c>
      <c r="AA24" s="38" t="s">
        <v>198</v>
      </c>
      <c r="AB24" s="38" t="s">
        <v>114</v>
      </c>
      <c r="AC24" s="220">
        <f>B12</f>
        <v>1.83064E-2</v>
      </c>
      <c r="AD24" s="38" t="s">
        <v>198</v>
      </c>
      <c r="AE24" s="63" t="s">
        <v>119</v>
      </c>
      <c r="AF24" s="66">
        <f>B28</f>
        <v>0.5</v>
      </c>
      <c r="AG24" s="65"/>
      <c r="AH24" s="38" t="s">
        <v>114</v>
      </c>
      <c r="AI24" s="220">
        <f>B12</f>
        <v>1.83064E-2</v>
      </c>
      <c r="AJ24" s="38" t="s">
        <v>198</v>
      </c>
      <c r="AK24" s="38" t="s">
        <v>114</v>
      </c>
      <c r="AL24" s="220">
        <f>B12</f>
        <v>1.83064E-2</v>
      </c>
      <c r="AM24" s="38" t="s">
        <v>198</v>
      </c>
    </row>
    <row r="25" spans="1:39" x14ac:dyDescent="0.2">
      <c r="A25" s="28" t="s">
        <v>3</v>
      </c>
      <c r="B25" s="55">
        <v>1</v>
      </c>
      <c r="C25" s="37"/>
      <c r="D25" s="63" t="s">
        <v>119</v>
      </c>
      <c r="E25" s="66">
        <f>B28</f>
        <v>0.5</v>
      </c>
      <c r="F25" s="65"/>
      <c r="G25" s="38" t="s">
        <v>115</v>
      </c>
      <c r="H25" s="220">
        <f>B13</f>
        <v>3.4557999999999998E-2</v>
      </c>
      <c r="I25" s="38" t="s">
        <v>198</v>
      </c>
      <c r="J25" s="38" t="s">
        <v>115</v>
      </c>
      <c r="K25" s="220">
        <f>B13</f>
        <v>3.4557999999999998E-2</v>
      </c>
      <c r="L25" s="38" t="s">
        <v>198</v>
      </c>
      <c r="M25" s="63" t="s">
        <v>122</v>
      </c>
      <c r="N25" s="66">
        <f>B58</f>
        <v>8</v>
      </c>
      <c r="O25" s="65" t="s">
        <v>203</v>
      </c>
      <c r="P25" s="38" t="s">
        <v>115</v>
      </c>
      <c r="Q25" s="220">
        <f>B13</f>
        <v>3.4557999999999998E-2</v>
      </c>
      <c r="R25" s="38" t="s">
        <v>198</v>
      </c>
      <c r="S25" s="38" t="s">
        <v>115</v>
      </c>
      <c r="T25" s="220">
        <f>B13</f>
        <v>3.4557999999999998E-2</v>
      </c>
      <c r="U25" s="38" t="s">
        <v>198</v>
      </c>
      <c r="V25" s="63" t="s">
        <v>132</v>
      </c>
      <c r="W25" s="66">
        <f>B67</f>
        <v>8</v>
      </c>
      <c r="X25" s="65" t="s">
        <v>203</v>
      </c>
      <c r="Y25" s="38" t="s">
        <v>115</v>
      </c>
      <c r="Z25" s="220">
        <f>B13</f>
        <v>3.4557999999999998E-2</v>
      </c>
      <c r="AA25" s="38" t="s">
        <v>198</v>
      </c>
      <c r="AB25" s="38" t="s">
        <v>115</v>
      </c>
      <c r="AC25" s="220">
        <f>B13</f>
        <v>3.4557999999999998E-2</v>
      </c>
      <c r="AD25" s="38" t="s">
        <v>198</v>
      </c>
      <c r="AE25" s="63" t="s">
        <v>14</v>
      </c>
      <c r="AF25" s="66">
        <f>B76</f>
        <v>8</v>
      </c>
      <c r="AG25" s="65" t="s">
        <v>203</v>
      </c>
      <c r="AH25" s="38" t="s">
        <v>115</v>
      </c>
      <c r="AI25" s="220">
        <f>B13</f>
        <v>3.4557999999999998E-2</v>
      </c>
      <c r="AJ25" s="38" t="s">
        <v>198</v>
      </c>
      <c r="AK25" s="38" t="s">
        <v>115</v>
      </c>
      <c r="AL25" s="220">
        <f>B13</f>
        <v>3.4557999999999998E-2</v>
      </c>
      <c r="AM25" s="38" t="s">
        <v>198</v>
      </c>
    </row>
    <row r="26" spans="1:39" x14ac:dyDescent="0.2">
      <c r="A26" s="28" t="s">
        <v>27</v>
      </c>
      <c r="B26" s="55">
        <v>1</v>
      </c>
      <c r="C26" s="37"/>
      <c r="D26" s="67" t="s">
        <v>159</v>
      </c>
      <c r="E26" s="66">
        <f>B40</f>
        <v>4</v>
      </c>
      <c r="F26" s="65" t="s">
        <v>203</v>
      </c>
      <c r="G26" s="38" t="s">
        <v>116</v>
      </c>
      <c r="H26" s="220">
        <f>B14</f>
        <v>3.7173200000000003E-2</v>
      </c>
      <c r="I26" s="38" t="s">
        <v>198</v>
      </c>
      <c r="J26" s="38" t="s">
        <v>116</v>
      </c>
      <c r="K26" s="220">
        <f>B14</f>
        <v>3.7173200000000003E-2</v>
      </c>
      <c r="L26" s="38" t="s">
        <v>198</v>
      </c>
      <c r="M26" s="63" t="s">
        <v>136</v>
      </c>
      <c r="N26" s="66">
        <f>B62</f>
        <v>49</v>
      </c>
      <c r="O26" s="65" t="s">
        <v>24</v>
      </c>
      <c r="P26" s="38" t="s">
        <v>116</v>
      </c>
      <c r="Q26" s="220">
        <f>B14</f>
        <v>3.7173200000000003E-2</v>
      </c>
      <c r="R26" s="38" t="s">
        <v>198</v>
      </c>
      <c r="S26" s="38" t="s">
        <v>116</v>
      </c>
      <c r="T26" s="220">
        <f>B14</f>
        <v>3.7173200000000003E-2</v>
      </c>
      <c r="U26" s="38" t="s">
        <v>198</v>
      </c>
      <c r="V26" s="63" t="s">
        <v>130</v>
      </c>
      <c r="W26" s="66">
        <f>B71</f>
        <v>49</v>
      </c>
      <c r="X26" s="65" t="s">
        <v>24</v>
      </c>
      <c r="Y26" s="38" t="s">
        <v>116</v>
      </c>
      <c r="Z26" s="220">
        <f>B14</f>
        <v>3.7173200000000003E-2</v>
      </c>
      <c r="AA26" s="38" t="s">
        <v>198</v>
      </c>
      <c r="AB26" s="38" t="s">
        <v>116</v>
      </c>
      <c r="AC26" s="220">
        <f>B14</f>
        <v>3.7173200000000003E-2</v>
      </c>
      <c r="AD26" s="38" t="s">
        <v>198</v>
      </c>
      <c r="AE26" s="63" t="s">
        <v>17</v>
      </c>
      <c r="AF26" s="66">
        <f>B80</f>
        <v>49</v>
      </c>
      <c r="AG26" s="65" t="s">
        <v>24</v>
      </c>
      <c r="AH26" s="38" t="s">
        <v>116</v>
      </c>
      <c r="AI26" s="220">
        <f>B14</f>
        <v>3.7173200000000003E-2</v>
      </c>
      <c r="AJ26" s="38" t="s">
        <v>198</v>
      </c>
      <c r="AK26" s="38" t="s">
        <v>116</v>
      </c>
      <c r="AL26" s="220">
        <f>B14</f>
        <v>3.7173200000000003E-2</v>
      </c>
      <c r="AM26" s="38" t="s">
        <v>198</v>
      </c>
    </row>
    <row r="27" spans="1:39" x14ac:dyDescent="0.2">
      <c r="A27" s="28" t="s">
        <v>162</v>
      </c>
      <c r="B27" s="55">
        <v>0.5</v>
      </c>
      <c r="C27" s="37"/>
      <c r="D27" s="67" t="s">
        <v>158</v>
      </c>
      <c r="E27" s="66">
        <f>B39</f>
        <v>4</v>
      </c>
      <c r="F27" s="65" t="s">
        <v>203</v>
      </c>
      <c r="G27" s="40" t="s">
        <v>155</v>
      </c>
      <c r="H27" s="222">
        <f>B35</f>
        <v>350</v>
      </c>
      <c r="I27" s="29" t="s">
        <v>202</v>
      </c>
      <c r="J27" s="40" t="s">
        <v>155</v>
      </c>
      <c r="K27" s="221">
        <f>B35</f>
        <v>350</v>
      </c>
      <c r="L27" t="s">
        <v>202</v>
      </c>
      <c r="M27" s="68" t="s">
        <v>137</v>
      </c>
      <c r="N27" s="69">
        <f>B64</f>
        <v>2</v>
      </c>
      <c r="O27" s="70" t="s">
        <v>204</v>
      </c>
      <c r="P27" s="29" t="s">
        <v>87</v>
      </c>
      <c r="Q27" s="222">
        <f>B57</f>
        <v>250</v>
      </c>
      <c r="R27" s="29" t="s">
        <v>202</v>
      </c>
      <c r="S27" s="29" t="s">
        <v>87</v>
      </c>
      <c r="T27" s="221">
        <f>B57</f>
        <v>250</v>
      </c>
      <c r="U27" t="s">
        <v>202</v>
      </c>
      <c r="V27" s="68" t="s">
        <v>131</v>
      </c>
      <c r="W27" s="69">
        <f>B73</f>
        <v>2</v>
      </c>
      <c r="X27" s="70" t="s">
        <v>204</v>
      </c>
      <c r="Y27" s="29" t="s">
        <v>87</v>
      </c>
      <c r="Z27" s="32">
        <f>B66</f>
        <v>225</v>
      </c>
      <c r="AA27" t="s">
        <v>202</v>
      </c>
      <c r="AB27" s="29" t="s">
        <v>87</v>
      </c>
      <c r="AC27" s="222">
        <f>B66</f>
        <v>225</v>
      </c>
      <c r="AD27" s="29" t="s">
        <v>202</v>
      </c>
      <c r="AE27" s="68" t="s">
        <v>18</v>
      </c>
      <c r="AF27" s="69">
        <f>B82</f>
        <v>3</v>
      </c>
      <c r="AG27" s="70" t="s">
        <v>204</v>
      </c>
      <c r="AH27" s="29" t="s">
        <v>87</v>
      </c>
      <c r="AI27" s="222">
        <f>B75</f>
        <v>250</v>
      </c>
      <c r="AJ27" s="29" t="s">
        <v>202</v>
      </c>
      <c r="AK27" s="29" t="s">
        <v>87</v>
      </c>
      <c r="AL27" s="221">
        <f>B75</f>
        <v>250</v>
      </c>
      <c r="AM27" t="s">
        <v>202</v>
      </c>
    </row>
    <row r="28" spans="1:39" x14ac:dyDescent="0.2">
      <c r="A28" s="28" t="s">
        <v>119</v>
      </c>
      <c r="B28" s="55">
        <v>0.5</v>
      </c>
      <c r="C28" s="40"/>
      <c r="D28" s="67" t="s">
        <v>157</v>
      </c>
      <c r="E28" s="66">
        <f>B37</f>
        <v>350</v>
      </c>
      <c r="F28" s="65" t="s">
        <v>202</v>
      </c>
      <c r="G28" s="40" t="s">
        <v>125</v>
      </c>
      <c r="H28" s="221">
        <f>B43</f>
        <v>1</v>
      </c>
      <c r="I28" t="s">
        <v>205</v>
      </c>
      <c r="J28" s="40" t="s">
        <v>125</v>
      </c>
      <c r="K28" s="221">
        <f>B43</f>
        <v>1</v>
      </c>
      <c r="L28" t="s">
        <v>205</v>
      </c>
      <c r="M28" s="73" t="s">
        <v>133</v>
      </c>
      <c r="N28" s="66">
        <f>B57</f>
        <v>250</v>
      </c>
      <c r="O28" s="74" t="s">
        <v>202</v>
      </c>
      <c r="P28" t="s">
        <v>28</v>
      </c>
      <c r="Q28" s="221">
        <f>B61</f>
        <v>1</v>
      </c>
      <c r="R28" t="s">
        <v>205</v>
      </c>
      <c r="S28" s="29" t="s">
        <v>28</v>
      </c>
      <c r="T28" s="221">
        <f>B61</f>
        <v>1</v>
      </c>
      <c r="U28" t="s">
        <v>205</v>
      </c>
      <c r="V28" s="74" t="s">
        <v>128</v>
      </c>
      <c r="W28" s="66">
        <f>B66</f>
        <v>225</v>
      </c>
      <c r="X28" s="74" t="s">
        <v>202</v>
      </c>
      <c r="Y28" t="s">
        <v>28</v>
      </c>
      <c r="Z28" s="221">
        <f>B70</f>
        <v>1</v>
      </c>
      <c r="AA28" t="s">
        <v>205</v>
      </c>
      <c r="AB28" t="s">
        <v>28</v>
      </c>
      <c r="AC28" s="221">
        <f>B70</f>
        <v>1</v>
      </c>
      <c r="AD28" t="s">
        <v>205</v>
      </c>
      <c r="AE28" s="74" t="s">
        <v>13</v>
      </c>
      <c r="AF28" s="66">
        <f>B75</f>
        <v>250</v>
      </c>
      <c r="AG28" s="74" t="s">
        <v>202</v>
      </c>
      <c r="AH28" t="s">
        <v>28</v>
      </c>
      <c r="AI28" s="221">
        <f>B79</f>
        <v>1</v>
      </c>
      <c r="AJ28" t="s">
        <v>205</v>
      </c>
      <c r="AK28" t="s">
        <v>28</v>
      </c>
      <c r="AL28" s="221">
        <f>B79</f>
        <v>1</v>
      </c>
      <c r="AM28" t="s">
        <v>205</v>
      </c>
    </row>
    <row r="29" spans="1:39" x14ac:dyDescent="0.2">
      <c r="A29" s="28" t="s">
        <v>29</v>
      </c>
      <c r="B29" s="55">
        <v>0.4</v>
      </c>
      <c r="C29" s="28"/>
      <c r="D29" s="67" t="s">
        <v>156</v>
      </c>
      <c r="E29" s="66">
        <f>B36</f>
        <v>350</v>
      </c>
      <c r="F29" s="65" t="s">
        <v>202</v>
      </c>
      <c r="G29" t="s">
        <v>88</v>
      </c>
      <c r="H29" s="221">
        <f>B31</f>
        <v>0.4</v>
      </c>
      <c r="J29" t="s">
        <v>88</v>
      </c>
      <c r="K29" s="221">
        <f>B31</f>
        <v>0.4</v>
      </c>
      <c r="M29" s="74" t="s">
        <v>134</v>
      </c>
      <c r="N29" s="66">
        <f>B63</f>
        <v>2.5</v>
      </c>
      <c r="O29" s="74" t="s">
        <v>26</v>
      </c>
      <c r="Q29" s="221"/>
      <c r="T29" s="221"/>
      <c r="V29" s="74" t="s">
        <v>127</v>
      </c>
      <c r="W29" s="66">
        <v>2.5</v>
      </c>
      <c r="X29" s="74" t="s">
        <v>26</v>
      </c>
      <c r="Z29" s="221"/>
      <c r="AC29" s="221"/>
      <c r="AE29" s="74" t="s">
        <v>12</v>
      </c>
      <c r="AF29" s="66">
        <f>B81</f>
        <v>2.5</v>
      </c>
      <c r="AG29" s="74" t="s">
        <v>26</v>
      </c>
      <c r="AI29" s="221"/>
      <c r="AL29" s="221"/>
    </row>
    <row r="30" spans="1:39" x14ac:dyDescent="0.2">
      <c r="A30" s="54" t="s">
        <v>99</v>
      </c>
      <c r="B30" s="55">
        <v>1</v>
      </c>
      <c r="C30" s="28"/>
      <c r="D30" s="63" t="s">
        <v>163</v>
      </c>
      <c r="E30" s="66">
        <f>B54</f>
        <v>0.77</v>
      </c>
      <c r="F30" s="65"/>
      <c r="G30" t="s">
        <v>99</v>
      </c>
      <c r="H30" s="221">
        <f>B30</f>
        <v>1</v>
      </c>
      <c r="J30" t="s">
        <v>99</v>
      </c>
      <c r="K30" s="221">
        <f>B30</f>
        <v>1</v>
      </c>
      <c r="M30" s="28" t="s">
        <v>135</v>
      </c>
      <c r="N30" s="32">
        <f>B61</f>
        <v>1</v>
      </c>
      <c r="O30" s="28" t="s">
        <v>205</v>
      </c>
      <c r="P30" t="s">
        <v>99</v>
      </c>
      <c r="Q30" s="221">
        <f>B30</f>
        <v>1</v>
      </c>
      <c r="S30" t="s">
        <v>99</v>
      </c>
      <c r="T30" s="221">
        <f>B30</f>
        <v>1</v>
      </c>
      <c r="V30" s="28" t="s">
        <v>129</v>
      </c>
      <c r="W30" s="32">
        <f>B70</f>
        <v>1</v>
      </c>
      <c r="X30" s="28" t="s">
        <v>205</v>
      </c>
      <c r="Y30" t="s">
        <v>99</v>
      </c>
      <c r="Z30" s="221">
        <f>B30</f>
        <v>1</v>
      </c>
      <c r="AB30" t="s">
        <v>99</v>
      </c>
      <c r="AC30" s="221">
        <f>B30</f>
        <v>1</v>
      </c>
      <c r="AE30" s="28" t="s">
        <v>15</v>
      </c>
      <c r="AF30" s="32">
        <f>B79</f>
        <v>1</v>
      </c>
      <c r="AG30" s="28" t="s">
        <v>205</v>
      </c>
      <c r="AH30" s="28" t="s">
        <v>16</v>
      </c>
      <c r="AI30" s="221">
        <f>B31</f>
        <v>0.4</v>
      </c>
      <c r="AK30" s="28" t="s">
        <v>16</v>
      </c>
      <c r="AL30" s="221">
        <f>B31</f>
        <v>0.4</v>
      </c>
    </row>
    <row r="31" spans="1:39" x14ac:dyDescent="0.2">
      <c r="A31" s="54" t="s">
        <v>16</v>
      </c>
      <c r="B31" s="55">
        <v>0.4</v>
      </c>
      <c r="C31" s="28"/>
      <c r="D31" s="63" t="s">
        <v>164</v>
      </c>
      <c r="E31" s="66">
        <f>B55</f>
        <v>0.23</v>
      </c>
      <c r="F31" s="65"/>
      <c r="H31" s="221"/>
      <c r="K31" s="221"/>
      <c r="M31" s="28" t="s">
        <v>3</v>
      </c>
      <c r="N31" s="32">
        <f>B25</f>
        <v>1</v>
      </c>
      <c r="Q31" s="221"/>
      <c r="T31" s="221"/>
      <c r="V31" s="28" t="s">
        <v>3</v>
      </c>
      <c r="W31" s="32">
        <f>B25</f>
        <v>1</v>
      </c>
      <c r="Z31" s="221"/>
      <c r="AC31" s="221"/>
      <c r="AE31" s="28" t="s">
        <v>3</v>
      </c>
      <c r="AF31" s="32">
        <f>B25</f>
        <v>1</v>
      </c>
      <c r="AI31" s="221"/>
      <c r="AL31" s="221"/>
    </row>
    <row r="32" spans="1:39" x14ac:dyDescent="0.2">
      <c r="A32" s="54" t="s">
        <v>31</v>
      </c>
      <c r="B32" s="52">
        <v>666666666</v>
      </c>
      <c r="C32" s="54" t="s">
        <v>32</v>
      </c>
      <c r="D32" s="63" t="s">
        <v>147</v>
      </c>
      <c r="E32" s="66">
        <f>B52</f>
        <v>49</v>
      </c>
      <c r="F32" s="65" t="s">
        <v>24</v>
      </c>
      <c r="G32" s="28" t="s">
        <v>160</v>
      </c>
      <c r="H32" s="221">
        <f>B50</f>
        <v>1.752</v>
      </c>
      <c r="I32" t="s">
        <v>203</v>
      </c>
      <c r="J32" s="28" t="s">
        <v>160</v>
      </c>
      <c r="K32" s="221">
        <f>B50</f>
        <v>1.752</v>
      </c>
      <c r="L32" t="s">
        <v>203</v>
      </c>
      <c r="M32" s="28" t="s">
        <v>27</v>
      </c>
      <c r="N32" s="32">
        <f>B26</f>
        <v>1</v>
      </c>
      <c r="P32" t="s">
        <v>89</v>
      </c>
      <c r="Q32" s="221">
        <f>B58</f>
        <v>8</v>
      </c>
      <c r="R32" t="s">
        <v>203</v>
      </c>
      <c r="S32" t="s">
        <v>89</v>
      </c>
      <c r="T32" s="221">
        <f>B58</f>
        <v>8</v>
      </c>
      <c r="U32" t="s">
        <v>203</v>
      </c>
      <c r="V32" s="28" t="s">
        <v>27</v>
      </c>
      <c r="W32" s="32">
        <f>B26</f>
        <v>1</v>
      </c>
      <c r="Y32" t="s">
        <v>89</v>
      </c>
      <c r="Z32" s="221">
        <f>B67</f>
        <v>8</v>
      </c>
      <c r="AA32" t="s">
        <v>203</v>
      </c>
      <c r="AB32" t="s">
        <v>89</v>
      </c>
      <c r="AC32" s="221">
        <f>B67</f>
        <v>8</v>
      </c>
      <c r="AD32" t="s">
        <v>203</v>
      </c>
      <c r="AE32" s="28" t="s">
        <v>27</v>
      </c>
      <c r="AF32" s="32">
        <f>B26</f>
        <v>1</v>
      </c>
      <c r="AH32" t="s">
        <v>89</v>
      </c>
      <c r="AI32" s="221">
        <f>B76</f>
        <v>8</v>
      </c>
      <c r="AJ32" t="s">
        <v>203</v>
      </c>
      <c r="AK32" t="s">
        <v>89</v>
      </c>
      <c r="AL32" s="221">
        <f>B76</f>
        <v>8</v>
      </c>
      <c r="AM32" t="s">
        <v>203</v>
      </c>
    </row>
    <row r="33" spans="1:39" x14ac:dyDescent="0.2">
      <c r="A33" s="38" t="s">
        <v>65</v>
      </c>
      <c r="B33" s="42">
        <v>0</v>
      </c>
      <c r="D33" s="63" t="s">
        <v>146</v>
      </c>
      <c r="E33" s="66">
        <f>B53</f>
        <v>16</v>
      </c>
      <c r="F33" s="65" t="s">
        <v>24</v>
      </c>
      <c r="G33" t="s">
        <v>3</v>
      </c>
      <c r="H33" s="221">
        <f>B25</f>
        <v>1</v>
      </c>
      <c r="J33" t="s">
        <v>3</v>
      </c>
      <c r="K33" s="221">
        <f>B25</f>
        <v>1</v>
      </c>
      <c r="M33" s="28" t="s">
        <v>29</v>
      </c>
      <c r="N33" s="32">
        <f>B29</f>
        <v>0.4</v>
      </c>
      <c r="P33" t="s">
        <v>3</v>
      </c>
      <c r="Q33" s="221">
        <f>B25</f>
        <v>1</v>
      </c>
      <c r="S33" t="s">
        <v>3</v>
      </c>
      <c r="T33" s="221">
        <f>B25</f>
        <v>1</v>
      </c>
      <c r="V33" s="28" t="s">
        <v>29</v>
      </c>
      <c r="W33" s="32">
        <f>B29</f>
        <v>0.4</v>
      </c>
      <c r="Y33" t="s">
        <v>3</v>
      </c>
      <c r="Z33" s="221">
        <f>B25</f>
        <v>1</v>
      </c>
      <c r="AB33" t="s">
        <v>3</v>
      </c>
      <c r="AC33" s="221">
        <f>B25</f>
        <v>1</v>
      </c>
      <c r="AE33" s="28" t="s">
        <v>29</v>
      </c>
      <c r="AF33" s="32">
        <f>B29</f>
        <v>0.4</v>
      </c>
      <c r="AH33" t="s">
        <v>3</v>
      </c>
      <c r="AI33" s="221">
        <f>B25</f>
        <v>1</v>
      </c>
      <c r="AK33" t="s">
        <v>3</v>
      </c>
      <c r="AL33" s="221">
        <f>B25</f>
        <v>1</v>
      </c>
    </row>
    <row r="34" spans="1:39" ht="15" x14ac:dyDescent="0.2">
      <c r="A34" s="415" t="s">
        <v>7</v>
      </c>
      <c r="B34" s="415"/>
      <c r="C34" s="416"/>
      <c r="D34" s="67" t="s">
        <v>151</v>
      </c>
      <c r="E34" s="66">
        <f>B48</f>
        <v>2</v>
      </c>
      <c r="F34" s="65" t="s">
        <v>204</v>
      </c>
      <c r="G34" s="29" t="s">
        <v>27</v>
      </c>
      <c r="H34" s="222">
        <f>B26</f>
        <v>1</v>
      </c>
      <c r="I34" s="29"/>
      <c r="J34" s="29" t="s">
        <v>27</v>
      </c>
      <c r="K34" s="222">
        <f>B26</f>
        <v>1</v>
      </c>
      <c r="L34" s="29"/>
      <c r="M34" s="54" t="s">
        <v>99</v>
      </c>
      <c r="N34" s="32">
        <f>B30</f>
        <v>1</v>
      </c>
      <c r="P34" s="29" t="s">
        <v>27</v>
      </c>
      <c r="Q34" s="222">
        <f>B26</f>
        <v>1</v>
      </c>
      <c r="R34" s="29"/>
      <c r="S34" s="29" t="s">
        <v>27</v>
      </c>
      <c r="T34" s="222">
        <f>B26</f>
        <v>1</v>
      </c>
      <c r="U34" s="29"/>
      <c r="V34" s="54" t="s">
        <v>99</v>
      </c>
      <c r="W34" s="32">
        <f>B30</f>
        <v>1</v>
      </c>
      <c r="Y34" s="29" t="s">
        <v>27</v>
      </c>
      <c r="Z34" s="222">
        <f>B26</f>
        <v>1</v>
      </c>
      <c r="AA34" s="29"/>
      <c r="AB34" s="29" t="s">
        <v>27</v>
      </c>
      <c r="AC34" s="222">
        <f>B26</f>
        <v>1</v>
      </c>
      <c r="AD34" s="29"/>
      <c r="AE34" s="54" t="s">
        <v>99</v>
      </c>
      <c r="AF34" s="32">
        <f>B30</f>
        <v>1</v>
      </c>
      <c r="AH34" s="29" t="s">
        <v>27</v>
      </c>
      <c r="AI34" s="222">
        <f>B26</f>
        <v>1</v>
      </c>
      <c r="AJ34" s="29"/>
      <c r="AK34" s="29" t="s">
        <v>27</v>
      </c>
      <c r="AL34" s="222">
        <f>B26</f>
        <v>1</v>
      </c>
      <c r="AM34" s="29"/>
    </row>
    <row r="35" spans="1:39" x14ac:dyDescent="0.2">
      <c r="A35" s="40" t="s">
        <v>155</v>
      </c>
      <c r="B35" s="166">
        <v>350</v>
      </c>
      <c r="C35" s="40" t="s">
        <v>202</v>
      </c>
      <c r="D35" s="67" t="s">
        <v>150</v>
      </c>
      <c r="E35" s="66">
        <f>B49</f>
        <v>10</v>
      </c>
      <c r="F35" s="65" t="s">
        <v>204</v>
      </c>
      <c r="G35" s="28" t="s">
        <v>139</v>
      </c>
      <c r="H35" s="221">
        <f>B24</f>
        <v>1</v>
      </c>
      <c r="J35" s="28" t="s">
        <v>139</v>
      </c>
      <c r="K35" s="221">
        <f>B24</f>
        <v>1</v>
      </c>
      <c r="M35" s="54" t="s">
        <v>16</v>
      </c>
      <c r="N35" s="32">
        <f>B31</f>
        <v>0.4</v>
      </c>
      <c r="P35" s="28" t="s">
        <v>139</v>
      </c>
      <c r="Q35" s="221">
        <f>B24</f>
        <v>1</v>
      </c>
      <c r="S35" s="28" t="s">
        <v>139</v>
      </c>
      <c r="T35" s="221">
        <f>B24</f>
        <v>1</v>
      </c>
      <c r="V35" s="54" t="s">
        <v>16</v>
      </c>
      <c r="W35" s="32">
        <f>B31</f>
        <v>0.4</v>
      </c>
      <c r="Y35" s="28" t="s">
        <v>139</v>
      </c>
      <c r="Z35" s="221">
        <f>B24</f>
        <v>1</v>
      </c>
      <c r="AB35" s="28" t="s">
        <v>139</v>
      </c>
      <c r="AC35" s="221">
        <f>B24</f>
        <v>1</v>
      </c>
      <c r="AE35" s="54" t="s">
        <v>16</v>
      </c>
      <c r="AF35" s="32">
        <f>B31</f>
        <v>0.4</v>
      </c>
      <c r="AH35" s="28" t="s">
        <v>139</v>
      </c>
      <c r="AI35" s="221">
        <f>B24</f>
        <v>1</v>
      </c>
      <c r="AK35" s="28" t="s">
        <v>139</v>
      </c>
      <c r="AL35" s="221">
        <f>B24</f>
        <v>1</v>
      </c>
    </row>
    <row r="36" spans="1:39" x14ac:dyDescent="0.2">
      <c r="A36" s="40" t="s">
        <v>156</v>
      </c>
      <c r="B36" s="166">
        <v>350</v>
      </c>
      <c r="C36" s="40" t="s">
        <v>202</v>
      </c>
      <c r="D36" s="63" t="s">
        <v>149</v>
      </c>
      <c r="E36" s="66">
        <f>B47</f>
        <v>20</v>
      </c>
      <c r="F36" s="65" t="s">
        <v>26</v>
      </c>
      <c r="G36" s="28" t="s">
        <v>161</v>
      </c>
      <c r="H36" s="221">
        <f>B51</f>
        <v>16.399999999999999</v>
      </c>
      <c r="J36" s="28" t="s">
        <v>161</v>
      </c>
      <c r="K36" s="221">
        <f>B51</f>
        <v>16.399999999999999</v>
      </c>
      <c r="M36" s="28" t="s">
        <v>30</v>
      </c>
      <c r="N36" s="32">
        <f>B18</f>
        <v>1</v>
      </c>
      <c r="Q36" s="221"/>
      <c r="T36" s="221"/>
      <c r="V36" s="28" t="s">
        <v>30</v>
      </c>
      <c r="W36" s="32">
        <f>B18</f>
        <v>1</v>
      </c>
      <c r="Z36" s="221"/>
      <c r="AC36" s="221"/>
      <c r="AE36" s="28" t="s">
        <v>30</v>
      </c>
      <c r="AF36" s="32">
        <f>B18</f>
        <v>1</v>
      </c>
      <c r="AI36" s="221"/>
      <c r="AL36" s="221"/>
    </row>
    <row r="37" spans="1:39" x14ac:dyDescent="0.2">
      <c r="A37" s="40" t="s">
        <v>157</v>
      </c>
      <c r="B37" s="166">
        <v>350</v>
      </c>
      <c r="C37" s="40" t="s">
        <v>202</v>
      </c>
      <c r="D37" s="68" t="s">
        <v>148</v>
      </c>
      <c r="E37" s="69">
        <f>B46</f>
        <v>10</v>
      </c>
      <c r="F37" s="70" t="s">
        <v>26</v>
      </c>
      <c r="G37" t="s">
        <v>90</v>
      </c>
      <c r="H37" s="221">
        <f>B23</f>
        <v>1.393</v>
      </c>
      <c r="J37" s="38" t="s">
        <v>141</v>
      </c>
      <c r="K37" s="221">
        <f>B17</f>
        <v>1</v>
      </c>
      <c r="M37" s="54" t="s">
        <v>31</v>
      </c>
      <c r="N37" s="53">
        <f>B32</f>
        <v>666666666</v>
      </c>
      <c r="O37" s="54" t="s">
        <v>32</v>
      </c>
      <c r="P37" s="30" t="s">
        <v>5</v>
      </c>
      <c r="Q37" s="221">
        <f>B23</f>
        <v>1.393</v>
      </c>
      <c r="R37" t="s">
        <v>91</v>
      </c>
      <c r="S37" s="38" t="s">
        <v>141</v>
      </c>
      <c r="T37" s="221">
        <f>B17</f>
        <v>1</v>
      </c>
      <c r="V37" s="54" t="s">
        <v>31</v>
      </c>
      <c r="W37" s="53">
        <f>B32</f>
        <v>666666666</v>
      </c>
      <c r="X37" s="54" t="s">
        <v>32</v>
      </c>
      <c r="Y37" s="30" t="s">
        <v>5</v>
      </c>
      <c r="Z37" s="221">
        <f>B23</f>
        <v>1.393</v>
      </c>
      <c r="AA37" t="s">
        <v>91</v>
      </c>
      <c r="AB37" s="38" t="s">
        <v>141</v>
      </c>
      <c r="AC37" s="221">
        <f>B17</f>
        <v>1</v>
      </c>
      <c r="AE37" s="54" t="s">
        <v>31</v>
      </c>
      <c r="AF37" s="53">
        <f>B32</f>
        <v>666666666</v>
      </c>
      <c r="AG37" s="54" t="s">
        <v>32</v>
      </c>
      <c r="AH37" s="30" t="s">
        <v>5</v>
      </c>
      <c r="AI37" s="221">
        <f>B23</f>
        <v>1.393</v>
      </c>
      <c r="AJ37" t="s">
        <v>91</v>
      </c>
      <c r="AK37" s="38" t="s">
        <v>141</v>
      </c>
      <c r="AL37" s="221">
        <f>B17</f>
        <v>1</v>
      </c>
    </row>
    <row r="38" spans="1:39" x14ac:dyDescent="0.2">
      <c r="A38" s="40" t="s">
        <v>154</v>
      </c>
      <c r="B38" s="42">
        <v>24</v>
      </c>
      <c r="C38" s="40" t="s">
        <v>203</v>
      </c>
      <c r="D38" s="28" t="s">
        <v>125</v>
      </c>
      <c r="E38" s="32">
        <f>B43</f>
        <v>1</v>
      </c>
      <c r="F38" s="28" t="s">
        <v>205</v>
      </c>
      <c r="H38" s="221"/>
      <c r="J38" s="38" t="s">
        <v>142</v>
      </c>
      <c r="K38" s="221">
        <f>B18</f>
        <v>1</v>
      </c>
      <c r="M38" s="44" t="s">
        <v>98</v>
      </c>
      <c r="N38" s="43">
        <f>PEF!G2</f>
        <v>9520180.8385802973</v>
      </c>
      <c r="O38" s="28" t="s">
        <v>34</v>
      </c>
      <c r="Q38" s="221"/>
      <c r="S38" s="38" t="s">
        <v>142</v>
      </c>
      <c r="T38" s="221">
        <f>B18</f>
        <v>1</v>
      </c>
      <c r="V38" s="44" t="s">
        <v>98</v>
      </c>
      <c r="W38" s="43">
        <f>PEF!G2</f>
        <v>9520180.8385802973</v>
      </c>
      <c r="X38" s="28" t="s">
        <v>34</v>
      </c>
      <c r="AB38" s="38" t="s">
        <v>142</v>
      </c>
      <c r="AC38" s="221">
        <f>B18</f>
        <v>1</v>
      </c>
      <c r="AE38" s="44" t="s">
        <v>98</v>
      </c>
      <c r="AF38" s="43">
        <f>PEF!G2</f>
        <v>9520180.8385802973</v>
      </c>
      <c r="AG38" s="28" t="s">
        <v>34</v>
      </c>
      <c r="AI38" s="221"/>
      <c r="AK38" s="38" t="s">
        <v>142</v>
      </c>
      <c r="AL38" s="221">
        <f>B18</f>
        <v>1</v>
      </c>
    </row>
    <row r="39" spans="1:39" x14ac:dyDescent="0.2">
      <c r="A39" s="40" t="s">
        <v>158</v>
      </c>
      <c r="B39" s="42">
        <v>4</v>
      </c>
      <c r="C39" s="40" t="s">
        <v>203</v>
      </c>
      <c r="D39" s="28" t="s">
        <v>3</v>
      </c>
      <c r="E39" s="32">
        <f>B25</f>
        <v>1</v>
      </c>
      <c r="H39" s="221"/>
      <c r="J39" s="38" t="s">
        <v>143</v>
      </c>
      <c r="K39" s="221">
        <f>B19</f>
        <v>1</v>
      </c>
      <c r="M39" s="28" t="s">
        <v>33</v>
      </c>
      <c r="N39" s="43">
        <f>PEF!C2</f>
        <v>1365593623.3683286</v>
      </c>
      <c r="O39" s="28" t="s">
        <v>34</v>
      </c>
      <c r="Q39" s="221"/>
      <c r="S39" s="38" t="s">
        <v>143</v>
      </c>
      <c r="T39" s="221">
        <f>B19</f>
        <v>1</v>
      </c>
      <c r="V39" s="28" t="s">
        <v>33</v>
      </c>
      <c r="W39" s="43">
        <f>PEF!C2</f>
        <v>1365593623.3683286</v>
      </c>
      <c r="X39" s="28" t="s">
        <v>34</v>
      </c>
      <c r="AB39" s="38" t="s">
        <v>143</v>
      </c>
      <c r="AC39" s="221">
        <f>B19</f>
        <v>1</v>
      </c>
      <c r="AE39" s="28" t="s">
        <v>33</v>
      </c>
      <c r="AF39" s="43">
        <f>PEF!C2</f>
        <v>1365593623.3683286</v>
      </c>
      <c r="AG39" s="28" t="s">
        <v>34</v>
      </c>
      <c r="AI39" s="221"/>
      <c r="AK39" s="38" t="s">
        <v>143</v>
      </c>
      <c r="AL39" s="221">
        <f>B19</f>
        <v>1</v>
      </c>
    </row>
    <row r="40" spans="1:39" x14ac:dyDescent="0.2">
      <c r="A40" s="40" t="s">
        <v>159</v>
      </c>
      <c r="B40" s="42">
        <v>4</v>
      </c>
      <c r="C40" s="40" t="s">
        <v>203</v>
      </c>
      <c r="D40" s="28" t="s">
        <v>27</v>
      </c>
      <c r="E40" s="32">
        <f>B26</f>
        <v>1</v>
      </c>
      <c r="H40" s="221"/>
      <c r="J40" s="38" t="s">
        <v>144</v>
      </c>
      <c r="K40" s="221">
        <f>B20</f>
        <v>1</v>
      </c>
      <c r="M40" s="28" t="s">
        <v>102</v>
      </c>
      <c r="N40" s="32">
        <f>B22</f>
        <v>241</v>
      </c>
      <c r="O40" s="28" t="s">
        <v>103</v>
      </c>
      <c r="Q40" s="221"/>
      <c r="S40" s="38" t="s">
        <v>144</v>
      </c>
      <c r="T40" s="221">
        <f>B20</f>
        <v>1</v>
      </c>
      <c r="V40" s="28" t="s">
        <v>102</v>
      </c>
      <c r="W40" s="32">
        <f>B22</f>
        <v>241</v>
      </c>
      <c r="X40" s="28" t="s">
        <v>103</v>
      </c>
      <c r="AB40" s="38" t="s">
        <v>144</v>
      </c>
      <c r="AC40" s="221">
        <f>B20</f>
        <v>1</v>
      </c>
      <c r="AE40" s="28" t="s">
        <v>102</v>
      </c>
      <c r="AF40" s="32">
        <f>B22</f>
        <v>241</v>
      </c>
      <c r="AG40" s="28" t="s">
        <v>103</v>
      </c>
      <c r="AI40" s="221"/>
      <c r="AK40" s="38" t="s">
        <v>144</v>
      </c>
      <c r="AL40" s="221">
        <f>B20</f>
        <v>1</v>
      </c>
    </row>
    <row r="41" spans="1:39" x14ac:dyDescent="0.2">
      <c r="A41" s="40" t="s">
        <v>152</v>
      </c>
      <c r="B41" s="42">
        <v>24</v>
      </c>
      <c r="C41" s="40" t="s">
        <v>203</v>
      </c>
      <c r="D41" s="28" t="s">
        <v>160</v>
      </c>
      <c r="E41" s="32">
        <f>B50</f>
        <v>1.752</v>
      </c>
      <c r="F41" s="28" t="s">
        <v>203</v>
      </c>
      <c r="H41" s="221"/>
      <c r="J41" s="38" t="s">
        <v>145</v>
      </c>
      <c r="K41" s="221">
        <f>B21</f>
        <v>1</v>
      </c>
      <c r="M41" s="28" t="s">
        <v>100</v>
      </c>
      <c r="N41" s="207">
        <v>27.027027027027</v>
      </c>
      <c r="O41" s="28" t="s">
        <v>101</v>
      </c>
      <c r="Q41" s="221"/>
      <c r="S41" s="38" t="s">
        <v>145</v>
      </c>
      <c r="T41" s="221">
        <f>B21</f>
        <v>1</v>
      </c>
      <c r="V41" s="28" t="s">
        <v>100</v>
      </c>
      <c r="W41" s="207">
        <v>27.027027027027</v>
      </c>
      <c r="X41" s="28" t="s">
        <v>101</v>
      </c>
      <c r="AB41" s="38" t="s">
        <v>145</v>
      </c>
      <c r="AC41" s="221">
        <f>B21</f>
        <v>1</v>
      </c>
      <c r="AE41" s="28" t="s">
        <v>100</v>
      </c>
      <c r="AF41" s="207">
        <v>27.027027027027</v>
      </c>
      <c r="AG41" s="28" t="s">
        <v>101</v>
      </c>
      <c r="AI41" s="221"/>
      <c r="AK41" s="38" t="s">
        <v>145</v>
      </c>
      <c r="AL41" s="221">
        <f>B21</f>
        <v>1</v>
      </c>
    </row>
    <row r="42" spans="1:39" x14ac:dyDescent="0.2">
      <c r="A42" s="40" t="s">
        <v>153</v>
      </c>
      <c r="B42" s="42">
        <v>24</v>
      </c>
      <c r="C42" s="40" t="s">
        <v>203</v>
      </c>
      <c r="D42" s="28" t="s">
        <v>161</v>
      </c>
      <c r="E42" s="32">
        <f>B51</f>
        <v>16.399999999999999</v>
      </c>
      <c r="F42" s="28" t="s">
        <v>203</v>
      </c>
      <c r="G42" s="28" t="s">
        <v>100</v>
      </c>
      <c r="H42" s="207">
        <v>27.027027027027</v>
      </c>
      <c r="I42" s="28" t="s">
        <v>101</v>
      </c>
      <c r="J42" s="28" t="s">
        <v>100</v>
      </c>
      <c r="K42" s="207">
        <v>27.027027027027</v>
      </c>
      <c r="L42" s="28" t="s">
        <v>101</v>
      </c>
      <c r="M42" s="28" t="s">
        <v>104</v>
      </c>
      <c r="N42" s="32">
        <f>2.8*(10^(-15))</f>
        <v>2.8000000000000001E-15</v>
      </c>
      <c r="P42" s="28" t="s">
        <v>100</v>
      </c>
      <c r="Q42" s="207">
        <v>27.027027027027</v>
      </c>
      <c r="R42" s="28" t="s">
        <v>101</v>
      </c>
      <c r="S42" s="28" t="s">
        <v>100</v>
      </c>
      <c r="T42" s="207">
        <v>27.027027027027</v>
      </c>
      <c r="U42" s="28" t="s">
        <v>101</v>
      </c>
      <c r="V42" s="28" t="s">
        <v>104</v>
      </c>
      <c r="W42" s="32">
        <f>2.8*(10^(-15))</f>
        <v>2.8000000000000001E-15</v>
      </c>
      <c r="Y42" s="28" t="s">
        <v>100</v>
      </c>
      <c r="Z42" s="207">
        <v>27.027027027027</v>
      </c>
      <c r="AA42" s="28" t="s">
        <v>101</v>
      </c>
      <c r="AB42" s="28" t="s">
        <v>100</v>
      </c>
      <c r="AC42" s="207">
        <v>27.027027027027</v>
      </c>
      <c r="AD42" s="28" t="s">
        <v>101</v>
      </c>
      <c r="AE42" s="28" t="s">
        <v>104</v>
      </c>
      <c r="AF42" s="32">
        <f>2.8*(10^(-15))</f>
        <v>2.8000000000000001E-15</v>
      </c>
      <c r="AH42" s="28" t="s">
        <v>100</v>
      </c>
      <c r="AI42" s="207">
        <v>27.027027027027</v>
      </c>
      <c r="AJ42" s="28" t="s">
        <v>101</v>
      </c>
      <c r="AK42" s="28" t="s">
        <v>100</v>
      </c>
      <c r="AL42" s="207">
        <v>27.027027027027</v>
      </c>
      <c r="AM42" s="28" t="s">
        <v>101</v>
      </c>
    </row>
    <row r="43" spans="1:39" x14ac:dyDescent="0.2">
      <c r="A43" s="40" t="s">
        <v>125</v>
      </c>
      <c r="B43" s="42">
        <v>1</v>
      </c>
      <c r="C43" s="40" t="s">
        <v>10</v>
      </c>
      <c r="D43" s="28" t="s">
        <v>29</v>
      </c>
      <c r="E43" s="32">
        <f>B29</f>
        <v>0.4</v>
      </c>
      <c r="G43" s="28" t="s">
        <v>102</v>
      </c>
      <c r="H43" s="32">
        <f>B22</f>
        <v>241</v>
      </c>
      <c r="I43" s="28" t="s">
        <v>103</v>
      </c>
      <c r="J43" s="28" t="s">
        <v>102</v>
      </c>
      <c r="K43" s="32">
        <f>B22</f>
        <v>241</v>
      </c>
      <c r="L43" s="28" t="s">
        <v>103</v>
      </c>
      <c r="P43" s="28" t="s">
        <v>102</v>
      </c>
      <c r="Q43" s="32">
        <f>B22</f>
        <v>241</v>
      </c>
      <c r="R43" s="28" t="s">
        <v>103</v>
      </c>
      <c r="S43" s="28" t="s">
        <v>102</v>
      </c>
      <c r="T43" s="32">
        <f>B22</f>
        <v>241</v>
      </c>
      <c r="U43" s="28" t="s">
        <v>103</v>
      </c>
      <c r="Y43" s="28" t="s">
        <v>102</v>
      </c>
      <c r="Z43" s="32">
        <f>B22</f>
        <v>241</v>
      </c>
      <c r="AA43" s="28" t="s">
        <v>103</v>
      </c>
      <c r="AB43" s="28" t="s">
        <v>102</v>
      </c>
      <c r="AC43" s="32">
        <f>B22</f>
        <v>241</v>
      </c>
      <c r="AD43" s="28" t="s">
        <v>103</v>
      </c>
      <c r="AH43" s="28" t="s">
        <v>102</v>
      </c>
      <c r="AI43" s="32">
        <f>B22</f>
        <v>241</v>
      </c>
      <c r="AJ43" s="28" t="s">
        <v>103</v>
      </c>
      <c r="AK43" s="28" t="s">
        <v>102</v>
      </c>
      <c r="AL43" s="32">
        <f>B22</f>
        <v>241</v>
      </c>
      <c r="AM43" s="28" t="s">
        <v>103</v>
      </c>
    </row>
    <row r="44" spans="1:39" x14ac:dyDescent="0.2">
      <c r="A44" s="40" t="s">
        <v>146</v>
      </c>
      <c r="B44" s="42">
        <v>16</v>
      </c>
      <c r="C44" s="40" t="s">
        <v>120</v>
      </c>
      <c r="D44" s="54" t="s">
        <v>99</v>
      </c>
      <c r="E44" s="32">
        <f>B30</f>
        <v>1</v>
      </c>
      <c r="G44" s="28" t="s">
        <v>104</v>
      </c>
      <c r="H44" s="32">
        <f>2.8*(10^(-12))</f>
        <v>2.7999999999999998E-12</v>
      </c>
      <c r="I44" s="28"/>
      <c r="J44" s="28" t="s">
        <v>104</v>
      </c>
      <c r="K44" s="32">
        <f>2.8*(10^(-12))</f>
        <v>2.7999999999999998E-12</v>
      </c>
      <c r="L44" s="28"/>
      <c r="P44" s="28" t="s">
        <v>104</v>
      </c>
      <c r="Q44" s="32">
        <f>2.8*(10^(-12))</f>
        <v>2.7999999999999998E-12</v>
      </c>
      <c r="R44" s="28"/>
      <c r="S44" s="28" t="s">
        <v>104</v>
      </c>
      <c r="T44" s="32">
        <f>2.8*(10^(-12))</f>
        <v>2.7999999999999998E-12</v>
      </c>
      <c r="U44" s="28"/>
      <c r="Y44" s="28" t="s">
        <v>104</v>
      </c>
      <c r="Z44" s="32">
        <f>2.8*(10^(-12))</f>
        <v>2.7999999999999998E-12</v>
      </c>
      <c r="AA44" s="28"/>
      <c r="AB44" s="28" t="s">
        <v>104</v>
      </c>
      <c r="AC44" s="32">
        <f>2.8*(10^(-12))</f>
        <v>2.7999999999999998E-12</v>
      </c>
      <c r="AD44" s="28"/>
      <c r="AH44" s="28" t="s">
        <v>104</v>
      </c>
      <c r="AI44" s="32">
        <f>2.8*(10^(-12))</f>
        <v>2.7999999999999998E-12</v>
      </c>
      <c r="AJ44" s="28"/>
      <c r="AK44" s="28" t="s">
        <v>104</v>
      </c>
      <c r="AL44" s="32">
        <f>2.8*(10^(-12))</f>
        <v>2.7999999999999998E-12</v>
      </c>
      <c r="AM44" s="28"/>
    </row>
    <row r="45" spans="1:39" x14ac:dyDescent="0.2">
      <c r="A45" s="40" t="s">
        <v>147</v>
      </c>
      <c r="B45" s="42">
        <v>49</v>
      </c>
      <c r="C45" s="40" t="s">
        <v>120</v>
      </c>
      <c r="D45" s="54" t="s">
        <v>16</v>
      </c>
      <c r="E45" s="32">
        <f>B31</f>
        <v>0.4</v>
      </c>
      <c r="G45" s="28" t="s">
        <v>104</v>
      </c>
      <c r="H45" s="32">
        <f>2.8*(10^(-15))</f>
        <v>2.8000000000000001E-15</v>
      </c>
      <c r="J45" s="28" t="s">
        <v>104</v>
      </c>
      <c r="K45" s="32">
        <f>2.8*(10^(-15))</f>
        <v>2.8000000000000001E-15</v>
      </c>
      <c r="P45" s="28" t="s">
        <v>104</v>
      </c>
      <c r="Q45" s="32">
        <f>2.8*(10^(-15))</f>
        <v>2.8000000000000001E-15</v>
      </c>
      <c r="S45" s="28" t="s">
        <v>104</v>
      </c>
      <c r="T45" s="32">
        <f>2.8*(10^(-15))</f>
        <v>2.8000000000000001E-15</v>
      </c>
      <c r="Y45" s="28" t="s">
        <v>104</v>
      </c>
      <c r="Z45" s="32">
        <f>2.8*(10^(-15))</f>
        <v>2.8000000000000001E-15</v>
      </c>
      <c r="AB45" s="28" t="s">
        <v>104</v>
      </c>
      <c r="AC45" s="32">
        <f>2.8*(10^(-15))</f>
        <v>2.8000000000000001E-15</v>
      </c>
      <c r="AH45" s="28" t="s">
        <v>104</v>
      </c>
      <c r="AI45" s="32">
        <f>2.8*(10^(-15))</f>
        <v>2.8000000000000001E-15</v>
      </c>
      <c r="AK45" s="28" t="s">
        <v>104</v>
      </c>
      <c r="AL45" s="32">
        <f>2.8*(10^(-15))</f>
        <v>2.8000000000000001E-15</v>
      </c>
    </row>
    <row r="46" spans="1:39" x14ac:dyDescent="0.2">
      <c r="A46" s="40" t="s">
        <v>148</v>
      </c>
      <c r="B46" s="42">
        <v>10</v>
      </c>
      <c r="C46" s="40" t="s">
        <v>121</v>
      </c>
      <c r="D46" s="28" t="s">
        <v>30</v>
      </c>
      <c r="E46" s="32">
        <f>B18</f>
        <v>1</v>
      </c>
      <c r="Z46" s="221"/>
      <c r="AC46" s="221"/>
    </row>
    <row r="47" spans="1:39" x14ac:dyDescent="0.2">
      <c r="A47" s="40" t="s">
        <v>149</v>
      </c>
      <c r="B47" s="42">
        <v>20</v>
      </c>
      <c r="C47" s="40" t="s">
        <v>121</v>
      </c>
      <c r="D47" s="54" t="s">
        <v>31</v>
      </c>
      <c r="E47" s="53">
        <f>B32</f>
        <v>666666666</v>
      </c>
      <c r="F47" s="54" t="s">
        <v>32</v>
      </c>
      <c r="G47" s="343">
        <f>E6/(0.0000000662)</f>
        <v>3.6994240322396824E-8</v>
      </c>
      <c r="H47" s="343"/>
      <c r="I47" s="343"/>
    </row>
    <row r="48" spans="1:39" x14ac:dyDescent="0.2">
      <c r="A48" s="40" t="s">
        <v>151</v>
      </c>
      <c r="B48" s="55">
        <v>2</v>
      </c>
      <c r="C48" s="28" t="s">
        <v>204</v>
      </c>
      <c r="D48" s="44" t="s">
        <v>98</v>
      </c>
      <c r="E48" s="43">
        <f>PEF!E2</f>
        <v>9520180.8385802973</v>
      </c>
      <c r="F48" s="28" t="s">
        <v>34</v>
      </c>
      <c r="G48" s="343"/>
      <c r="H48" s="343"/>
      <c r="I48" s="343"/>
    </row>
    <row r="49" spans="1:9" x14ac:dyDescent="0.2">
      <c r="A49" s="40" t="s">
        <v>150</v>
      </c>
      <c r="B49" s="55">
        <v>10</v>
      </c>
      <c r="C49" s="28" t="s">
        <v>204</v>
      </c>
      <c r="D49" s="28" t="s">
        <v>33</v>
      </c>
      <c r="E49" s="43">
        <f>PEF!C2</f>
        <v>1365593623.3683286</v>
      </c>
      <c r="F49" s="28" t="s">
        <v>34</v>
      </c>
      <c r="G49" s="343"/>
      <c r="H49" s="343"/>
      <c r="I49" s="343"/>
    </row>
    <row r="50" spans="1:9" x14ac:dyDescent="0.2">
      <c r="A50" s="28" t="s">
        <v>160</v>
      </c>
      <c r="B50" s="55">
        <v>1.752</v>
      </c>
      <c r="C50" s="28" t="s">
        <v>203</v>
      </c>
      <c r="D50" s="28" t="s">
        <v>102</v>
      </c>
      <c r="E50" s="32">
        <f>B22</f>
        <v>241</v>
      </c>
      <c r="F50" s="28" t="s">
        <v>103</v>
      </c>
      <c r="G50" s="343">
        <f>E17*0.037</f>
        <v>1.0702327941108931E-3</v>
      </c>
      <c r="H50" s="343"/>
      <c r="I50" s="343"/>
    </row>
    <row r="51" spans="1:9" x14ac:dyDescent="0.2">
      <c r="A51" s="28" t="s">
        <v>161</v>
      </c>
      <c r="B51" s="55">
        <v>16.399999999999999</v>
      </c>
      <c r="C51" s="28" t="s">
        <v>203</v>
      </c>
      <c r="D51" s="28" t="s">
        <v>100</v>
      </c>
      <c r="E51" s="207">
        <v>27.027027027027</v>
      </c>
      <c r="F51" s="28" t="s">
        <v>101</v>
      </c>
      <c r="G51" s="343">
        <f>E18*0.037</f>
        <v>3.1092897275916855E-7</v>
      </c>
    </row>
    <row r="52" spans="1:9" x14ac:dyDescent="0.2">
      <c r="A52" s="28" t="s">
        <v>147</v>
      </c>
      <c r="B52" s="55">
        <v>49</v>
      </c>
      <c r="C52" s="28" t="s">
        <v>24</v>
      </c>
      <c r="D52" s="28" t="s">
        <v>104</v>
      </c>
      <c r="E52" s="32">
        <f>2.8*(10^(-15))</f>
        <v>2.8000000000000001E-15</v>
      </c>
      <c r="G52" s="343">
        <f>E19*0.037</f>
        <v>4.4600268599908693E-5</v>
      </c>
    </row>
    <row r="53" spans="1:9" x14ac:dyDescent="0.2">
      <c r="A53" s="28" t="s">
        <v>146</v>
      </c>
      <c r="B53" s="55">
        <v>16</v>
      </c>
      <c r="C53" s="28" t="s">
        <v>24</v>
      </c>
      <c r="G53" s="343">
        <f>E20*0.037</f>
        <v>4.3753171653524969</v>
      </c>
    </row>
    <row r="54" spans="1:9" x14ac:dyDescent="0.2">
      <c r="A54" s="28" t="s">
        <v>163</v>
      </c>
      <c r="B54" s="55">
        <v>0.77</v>
      </c>
      <c r="C54" s="28"/>
      <c r="F54" s="31" t="s">
        <v>95</v>
      </c>
    </row>
    <row r="55" spans="1:9" x14ac:dyDescent="0.2">
      <c r="A55" s="28" t="s">
        <v>164</v>
      </c>
      <c r="B55" s="55">
        <v>0.23</v>
      </c>
      <c r="C55" s="28"/>
      <c r="F55" s="31" t="s">
        <v>96</v>
      </c>
    </row>
    <row r="56" spans="1:9" ht="15" x14ac:dyDescent="0.2">
      <c r="A56" s="410" t="s">
        <v>180</v>
      </c>
      <c r="B56" s="410"/>
      <c r="C56" s="410"/>
      <c r="F56" s="31" t="s">
        <v>97</v>
      </c>
    </row>
    <row r="57" spans="1:9" x14ac:dyDescent="0.2">
      <c r="A57" s="40" t="s">
        <v>133</v>
      </c>
      <c r="B57" s="166">
        <v>250</v>
      </c>
      <c r="C57" s="40" t="s">
        <v>202</v>
      </c>
    </row>
    <row r="58" spans="1:9" x14ac:dyDescent="0.2">
      <c r="A58" s="40" t="s">
        <v>122</v>
      </c>
      <c r="B58" s="42">
        <v>8</v>
      </c>
      <c r="C58" s="40" t="s">
        <v>203</v>
      </c>
    </row>
    <row r="59" spans="1:9" x14ac:dyDescent="0.2">
      <c r="A59" s="40" t="s">
        <v>185</v>
      </c>
      <c r="B59" s="42">
        <v>4</v>
      </c>
      <c r="C59" s="40" t="s">
        <v>203</v>
      </c>
    </row>
    <row r="60" spans="1:9" x14ac:dyDescent="0.2">
      <c r="A60" s="40" t="s">
        <v>186</v>
      </c>
      <c r="B60" s="42">
        <v>4</v>
      </c>
      <c r="C60" s="40" t="s">
        <v>203</v>
      </c>
    </row>
    <row r="61" spans="1:9" x14ac:dyDescent="0.2">
      <c r="A61" s="40" t="s">
        <v>135</v>
      </c>
      <c r="B61" s="42">
        <v>1</v>
      </c>
      <c r="C61" s="40" t="s">
        <v>10</v>
      </c>
    </row>
    <row r="62" spans="1:9" x14ac:dyDescent="0.2">
      <c r="A62" s="40" t="s">
        <v>136</v>
      </c>
      <c r="B62" s="42">
        <v>49</v>
      </c>
      <c r="C62" s="40" t="s">
        <v>120</v>
      </c>
    </row>
    <row r="63" spans="1:9" x14ac:dyDescent="0.2">
      <c r="A63" s="40" t="s">
        <v>134</v>
      </c>
      <c r="B63" s="42">
        <v>2.5</v>
      </c>
      <c r="C63" s="40" t="s">
        <v>121</v>
      </c>
    </row>
    <row r="64" spans="1:9" x14ac:dyDescent="0.2">
      <c r="A64" s="40" t="s">
        <v>137</v>
      </c>
      <c r="B64" s="42">
        <v>2</v>
      </c>
      <c r="C64" s="40" t="s">
        <v>204</v>
      </c>
    </row>
    <row r="65" spans="1:3" ht="15" x14ac:dyDescent="0.2">
      <c r="A65" s="409" t="s">
        <v>181</v>
      </c>
      <c r="B65" s="409"/>
      <c r="C65" s="409"/>
    </row>
    <row r="66" spans="1:3" x14ac:dyDescent="0.2">
      <c r="A66" s="40" t="s">
        <v>128</v>
      </c>
      <c r="B66" s="166">
        <v>225</v>
      </c>
      <c r="C66" s="40" t="s">
        <v>202</v>
      </c>
    </row>
    <row r="67" spans="1:3" x14ac:dyDescent="0.2">
      <c r="A67" s="40" t="s">
        <v>122</v>
      </c>
      <c r="B67" s="42">
        <v>8</v>
      </c>
      <c r="C67" s="40" t="s">
        <v>203</v>
      </c>
    </row>
    <row r="68" spans="1:3" x14ac:dyDescent="0.2">
      <c r="A68" s="40" t="s">
        <v>183</v>
      </c>
      <c r="B68" s="42">
        <v>4</v>
      </c>
      <c r="C68" s="40" t="s">
        <v>203</v>
      </c>
    </row>
    <row r="69" spans="1:3" x14ac:dyDescent="0.2">
      <c r="A69" s="40" t="s">
        <v>184</v>
      </c>
      <c r="B69" s="42">
        <v>4</v>
      </c>
      <c r="C69" s="40" t="s">
        <v>203</v>
      </c>
    </row>
    <row r="70" spans="1:3" x14ac:dyDescent="0.2">
      <c r="A70" s="40" t="s">
        <v>129</v>
      </c>
      <c r="B70" s="42">
        <v>1</v>
      </c>
      <c r="C70" s="40" t="s">
        <v>10</v>
      </c>
    </row>
    <row r="71" spans="1:3" x14ac:dyDescent="0.2">
      <c r="A71" s="40" t="s">
        <v>130</v>
      </c>
      <c r="B71" s="42">
        <v>49</v>
      </c>
      <c r="C71" s="40" t="s">
        <v>120</v>
      </c>
    </row>
    <row r="72" spans="1:3" x14ac:dyDescent="0.2">
      <c r="A72" s="40" t="s">
        <v>127</v>
      </c>
      <c r="B72" s="42">
        <v>2.5</v>
      </c>
      <c r="C72" s="40" t="s">
        <v>121</v>
      </c>
    </row>
    <row r="73" spans="1:3" x14ac:dyDescent="0.2">
      <c r="A73" s="40" t="s">
        <v>131</v>
      </c>
      <c r="B73" s="42">
        <v>2</v>
      </c>
      <c r="C73" s="40" t="s">
        <v>204</v>
      </c>
    </row>
    <row r="74" spans="1:3" ht="15" x14ac:dyDescent="0.2">
      <c r="A74" s="408" t="s">
        <v>182</v>
      </c>
      <c r="B74" s="408"/>
      <c r="C74" s="408"/>
    </row>
    <row r="75" spans="1:3" x14ac:dyDescent="0.2">
      <c r="A75" s="40" t="s">
        <v>13</v>
      </c>
      <c r="B75" s="166">
        <v>250</v>
      </c>
      <c r="C75" s="40" t="s">
        <v>202</v>
      </c>
    </row>
    <row r="76" spans="1:3" x14ac:dyDescent="0.2">
      <c r="A76" s="40" t="s">
        <v>122</v>
      </c>
      <c r="B76" s="42">
        <v>8</v>
      </c>
      <c r="C76" s="40" t="s">
        <v>203</v>
      </c>
    </row>
    <row r="77" spans="1:3" x14ac:dyDescent="0.2">
      <c r="A77" s="40" t="s">
        <v>123</v>
      </c>
      <c r="B77" s="42">
        <v>4</v>
      </c>
      <c r="C77" s="40" t="s">
        <v>203</v>
      </c>
    </row>
    <row r="78" spans="1:3" x14ac:dyDescent="0.2">
      <c r="A78" s="40" t="s">
        <v>124</v>
      </c>
      <c r="B78" s="42">
        <v>4</v>
      </c>
      <c r="C78" s="40" t="s">
        <v>203</v>
      </c>
    </row>
    <row r="79" spans="1:3" x14ac:dyDescent="0.2">
      <c r="A79" s="40" t="s">
        <v>15</v>
      </c>
      <c r="B79" s="42">
        <v>1</v>
      </c>
      <c r="C79" s="40" t="s">
        <v>10</v>
      </c>
    </row>
    <row r="80" spans="1:3" x14ac:dyDescent="0.2">
      <c r="A80" s="40" t="s">
        <v>17</v>
      </c>
      <c r="B80" s="42">
        <v>49</v>
      </c>
      <c r="C80" s="40" t="s">
        <v>120</v>
      </c>
    </row>
    <row r="81" spans="1:3" x14ac:dyDescent="0.2">
      <c r="A81" s="40" t="s">
        <v>12</v>
      </c>
      <c r="B81" s="42">
        <v>2.5</v>
      </c>
      <c r="C81" s="40" t="s">
        <v>121</v>
      </c>
    </row>
    <row r="82" spans="1:3" x14ac:dyDescent="0.2">
      <c r="A82" s="40" t="s">
        <v>18</v>
      </c>
      <c r="B82" s="42">
        <v>3</v>
      </c>
      <c r="C82" s="40" t="s">
        <v>204</v>
      </c>
    </row>
    <row r="105" spans="1:1" x14ac:dyDescent="0.2">
      <c r="A105" s="28"/>
    </row>
  </sheetData>
  <mergeCells count="18">
    <mergeCell ref="A74:C74"/>
    <mergeCell ref="A65:C65"/>
    <mergeCell ref="A56:C56"/>
    <mergeCell ref="M1:O1"/>
    <mergeCell ref="A2:C5"/>
    <mergeCell ref="A1:C1"/>
    <mergeCell ref="G1:I1"/>
    <mergeCell ref="J1:L1"/>
    <mergeCell ref="D1:F1"/>
    <mergeCell ref="A34:C34"/>
    <mergeCell ref="S1:U1"/>
    <mergeCell ref="P1:R1"/>
    <mergeCell ref="AB1:AD1"/>
    <mergeCell ref="AH1:AJ1"/>
    <mergeCell ref="AK1:AM1"/>
    <mergeCell ref="AE1:AG1"/>
    <mergeCell ref="Y1:AA1"/>
    <mergeCell ref="V1:X1"/>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06"/>
  <sheetViews>
    <sheetView zoomScale="80" zoomScaleNormal="80" workbookViewId="0">
      <pane xSplit="3" ySplit="1" topLeftCell="D2" activePane="bottomRight" state="frozen"/>
      <selection pane="topRight" activeCell="D1" sqref="D1"/>
      <selection pane="bottomLeft" activeCell="A2" sqref="A2"/>
      <selection pane="bottomRight" sqref="A1:C1"/>
    </sheetView>
  </sheetViews>
  <sheetFormatPr defaultRowHeight="12.75" x14ac:dyDescent="0.2"/>
  <cols>
    <col min="1" max="1" width="13.7109375" bestFit="1" customWidth="1"/>
    <col min="2" max="2" width="9.28515625" bestFit="1" customWidth="1"/>
    <col min="3" max="3" width="21" bestFit="1" customWidth="1"/>
    <col min="4" max="4" width="12.28515625" style="28" bestFit="1" customWidth="1"/>
    <col min="5" max="5" width="9.28515625" style="32" bestFit="1" customWidth="1"/>
    <col min="6" max="6" width="20.5703125" style="28" bestFit="1" customWidth="1"/>
    <col min="7" max="7" width="13.7109375" bestFit="1" customWidth="1"/>
    <col min="8" max="8" width="9.28515625" bestFit="1" customWidth="1"/>
    <col min="9" max="9" width="21" bestFit="1" customWidth="1"/>
    <col min="10" max="10" width="13.7109375" bestFit="1" customWidth="1"/>
    <col min="11" max="11" width="9.28515625" bestFit="1" customWidth="1"/>
    <col min="12" max="12" width="21" bestFit="1" customWidth="1"/>
    <col min="13" max="13" width="12.28515625" style="28" bestFit="1" customWidth="1"/>
    <col min="14" max="14" width="9.28515625" style="32" bestFit="1" customWidth="1"/>
    <col min="15" max="15" width="20.5703125" style="28" bestFit="1" customWidth="1"/>
    <col min="16" max="16" width="13.7109375" bestFit="1" customWidth="1"/>
    <col min="17" max="17" width="9.28515625" bestFit="1" customWidth="1"/>
    <col min="18" max="18" width="21" bestFit="1" customWidth="1"/>
    <col min="19" max="19" width="13.7109375" bestFit="1" customWidth="1"/>
    <col min="20" max="20" width="9.28515625" bestFit="1" customWidth="1"/>
    <col min="21" max="21" width="21" bestFit="1" customWidth="1"/>
    <col min="22" max="22" width="12.28515625" style="28" bestFit="1" customWidth="1"/>
    <col min="23" max="23" width="9.28515625" style="28" bestFit="1" customWidth="1"/>
    <col min="24" max="24" width="20.5703125" style="28" bestFit="1" customWidth="1"/>
    <col min="25" max="25" width="13.7109375" bestFit="1" customWidth="1"/>
    <col min="26" max="26" width="9.28515625" bestFit="1" customWidth="1"/>
    <col min="27" max="27" width="21" bestFit="1" customWidth="1"/>
    <col min="28" max="28" width="13.7109375" bestFit="1" customWidth="1"/>
    <col min="29" max="29" width="9.28515625" bestFit="1" customWidth="1"/>
    <col min="30" max="30" width="21" bestFit="1" customWidth="1"/>
    <col min="31" max="31" width="12.28515625" style="28" bestFit="1" customWidth="1"/>
    <col min="32" max="32" width="9.28515625" style="32" bestFit="1" customWidth="1"/>
    <col min="33" max="33" width="20.5703125" style="28" bestFit="1" customWidth="1"/>
    <col min="34" max="34" width="13.7109375" bestFit="1" customWidth="1"/>
    <col min="35" max="35" width="9.28515625" bestFit="1" customWidth="1"/>
    <col min="36" max="36" width="21" bestFit="1" customWidth="1"/>
    <col min="37" max="37" width="13.7109375" bestFit="1" customWidth="1"/>
    <col min="38" max="38" width="9.28515625" bestFit="1" customWidth="1"/>
    <col min="39" max="39" width="21" bestFit="1" customWidth="1"/>
  </cols>
  <sheetData>
    <row r="1" spans="1:39" ht="21.75" thickTop="1" thickBot="1" x14ac:dyDescent="0.3">
      <c r="A1" s="381" t="s">
        <v>4</v>
      </c>
      <c r="B1" s="382"/>
      <c r="C1" s="383"/>
      <c r="D1" s="414" t="s">
        <v>171</v>
      </c>
      <c r="E1" s="412"/>
      <c r="F1" s="413"/>
      <c r="G1" s="411" t="s">
        <v>187</v>
      </c>
      <c r="H1" s="412"/>
      <c r="I1" s="413"/>
      <c r="J1" s="411" t="s">
        <v>188</v>
      </c>
      <c r="K1" s="412"/>
      <c r="L1" s="413"/>
      <c r="M1" s="399" t="s">
        <v>172</v>
      </c>
      <c r="N1" s="400"/>
      <c r="O1" s="401"/>
      <c r="P1" s="399" t="s">
        <v>189</v>
      </c>
      <c r="Q1" s="400"/>
      <c r="R1" s="401"/>
      <c r="S1" s="399" t="s">
        <v>168</v>
      </c>
      <c r="T1" s="400"/>
      <c r="U1" s="401"/>
      <c r="V1" s="402" t="s">
        <v>173</v>
      </c>
      <c r="W1" s="403"/>
      <c r="X1" s="404"/>
      <c r="Y1" s="402" t="s">
        <v>190</v>
      </c>
      <c r="Z1" s="403"/>
      <c r="AA1" s="404"/>
      <c r="AB1" s="402" t="s">
        <v>169</v>
      </c>
      <c r="AC1" s="403"/>
      <c r="AD1" s="404"/>
      <c r="AE1" s="405" t="s">
        <v>174</v>
      </c>
      <c r="AF1" s="406"/>
      <c r="AG1" s="407"/>
      <c r="AH1" s="405" t="s">
        <v>191</v>
      </c>
      <c r="AI1" s="406"/>
      <c r="AJ1" s="407"/>
      <c r="AK1" s="405" t="s">
        <v>170</v>
      </c>
      <c r="AL1" s="406"/>
      <c r="AM1" s="407"/>
    </row>
    <row r="2" spans="1:39" s="1" customFormat="1" ht="15" thickTop="1" x14ac:dyDescent="0.2">
      <c r="A2" s="384" t="s">
        <v>112</v>
      </c>
      <c r="B2" s="385"/>
      <c r="C2" s="386"/>
      <c r="D2" s="318" t="s">
        <v>175</v>
      </c>
      <c r="E2" s="325">
        <f>1/((1/E17)+(1/E18)+(1/E20))</f>
        <v>1.9185073093229758E-2</v>
      </c>
      <c r="F2" s="273" t="s">
        <v>176</v>
      </c>
      <c r="G2" s="84" t="s">
        <v>82</v>
      </c>
      <c r="H2" s="232">
        <f>(H17*H18*H19)/(H20*H22*H35*H33*H34*H37*H27*(1/365)*((H32*H30)+(H36*H29))*(1/24))</f>
        <v>0.80134038233259841</v>
      </c>
      <c r="I2" s="49" t="s">
        <v>108</v>
      </c>
      <c r="J2" s="84" t="s">
        <v>82</v>
      </c>
      <c r="K2" s="232">
        <f>(K17*K18*K19)/(K20*K22*K35*K33*K34*K37*K27*(1/365)*((K32*K30)+(K36*K29))*(1/24))</f>
        <v>0.95359505497579189</v>
      </c>
      <c r="L2" s="49" t="s">
        <v>108</v>
      </c>
      <c r="M2" s="319" t="s">
        <v>175</v>
      </c>
      <c r="N2" s="327">
        <f>1/((1/N17)+(1/N18)+(1/N20))</f>
        <v>1.7874766593114412E-2</v>
      </c>
      <c r="O2" s="266" t="s">
        <v>176</v>
      </c>
      <c r="P2" s="91" t="s">
        <v>82</v>
      </c>
      <c r="Q2" s="229">
        <f>(Q17*Q18*Q19)/(Q20*Q22*Q30*Q35*Q33*Q34*Q37*Q32*(1/24)*Q27*(1/365))</f>
        <v>1.1656297201409975</v>
      </c>
      <c r="R2" s="92" t="s">
        <v>108</v>
      </c>
      <c r="S2" s="91" t="s">
        <v>82</v>
      </c>
      <c r="T2" s="229">
        <f>(T17*T18*T19)/(T20*T22*T35*T33*T34*T37*T27*(1/365)*T30*T32*(1/24))</f>
        <v>1.3870993669677869</v>
      </c>
      <c r="U2" s="92" t="s">
        <v>108</v>
      </c>
      <c r="V2" s="320" t="s">
        <v>175</v>
      </c>
      <c r="W2" s="307">
        <f>1/((1/W17)+(1/W18)+(1/W20))</f>
        <v>1.9860851770127121E-2</v>
      </c>
      <c r="X2" s="278" t="s">
        <v>176</v>
      </c>
      <c r="Y2" s="75" t="s">
        <v>82</v>
      </c>
      <c r="Z2" s="223">
        <f>(Z17*Z18*Z19)/(Z20*Z22*Z30*Z35*Z33*Z34*Z37*Z32*(1/24)*Z27*(1/365))</f>
        <v>1.2951441334899971</v>
      </c>
      <c r="AA2" s="76" t="s">
        <v>108</v>
      </c>
      <c r="AB2" s="75" t="s">
        <v>82</v>
      </c>
      <c r="AC2" s="223">
        <f>(AC17*AC18*AC19)/(AC20*AC22*AC35*AC33*AC34*AC37*AC27*(1/365)*AC30*AC32*(1/24))</f>
        <v>1.5412215188530967</v>
      </c>
      <c r="AD2" s="76" t="s">
        <v>108</v>
      </c>
      <c r="AE2" s="321" t="s">
        <v>175</v>
      </c>
      <c r="AF2" s="326">
        <f>1/((1/AF17)+(1/AF18)+(1/AF20))</f>
        <v>1.7520269709698572E-2</v>
      </c>
      <c r="AG2" s="269" t="s">
        <v>176</v>
      </c>
      <c r="AH2" s="175" t="s">
        <v>82</v>
      </c>
      <c r="AI2" s="226">
        <f>(AI17*AI18*AI19)/(AI20*AI22*AI30*AI35*AI33*AI34*AI37*AI32*(1/24)*AI27*(1/365))</f>
        <v>2.9140743003524938</v>
      </c>
      <c r="AJ2" s="50" t="s">
        <v>108</v>
      </c>
      <c r="AK2" s="175" t="s">
        <v>82</v>
      </c>
      <c r="AL2" s="226">
        <f>(AL17*AL18*AL19)/(AL20*AL22*AL30*AL35*AL33*AL34*AL37*AL32*(1/24)*AL27*(1/365))</f>
        <v>3.4677484174194673</v>
      </c>
      <c r="AM2" s="50" t="s">
        <v>108</v>
      </c>
    </row>
    <row r="3" spans="1:39" s="1" customFormat="1" ht="15" thickBot="1" x14ac:dyDescent="0.25">
      <c r="A3" s="387"/>
      <c r="B3" s="388"/>
      <c r="C3" s="389"/>
      <c r="D3" s="272" t="s">
        <v>177</v>
      </c>
      <c r="E3" s="304">
        <f>1/((1/E17)+(1/E19)+(1/E20))</f>
        <v>0.40545473945698057</v>
      </c>
      <c r="F3" s="270" t="s">
        <v>176</v>
      </c>
      <c r="G3" s="85" t="s">
        <v>83</v>
      </c>
      <c r="H3" s="233">
        <f>(H17*H18*H19)/(H20*H23*H35*H33*H34*H37*H27*(1/365)*((H32*H30)+(H36*H29))*(1/24))</f>
        <v>3.9957190256775905</v>
      </c>
      <c r="I3" s="86" t="s">
        <v>110</v>
      </c>
      <c r="J3" s="85" t="s">
        <v>83</v>
      </c>
      <c r="K3" s="233">
        <f>(K17*K18*K19)/(K20*K23*K35*K33*K34*K38*K27*(1/365)*((K32*K30)+(K36*K29))*(1/24))</f>
        <v>4.7549056405563315</v>
      </c>
      <c r="L3" s="86" t="s">
        <v>110</v>
      </c>
      <c r="M3" s="265" t="s">
        <v>177</v>
      </c>
      <c r="N3" s="308">
        <f>1/((1/N17)+(1/N19)+(1/N20))</f>
        <v>0.33852197042032778</v>
      </c>
      <c r="O3" s="260" t="s">
        <v>176</v>
      </c>
      <c r="P3" s="93" t="s">
        <v>83</v>
      </c>
      <c r="Q3" s="230">
        <f>(Q17*Q18*Q19)/(Q20*Q23*Q30*Q35*Q33*Q34*Q37*Q32*(1/24)*Q27*(1/365))</f>
        <v>5.8121728947506215</v>
      </c>
      <c r="R3" s="94" t="s">
        <v>110</v>
      </c>
      <c r="S3" s="93" t="s">
        <v>83</v>
      </c>
      <c r="T3" s="230">
        <f>(T17*T18*T19)/(T20*T23*T30*T35*T33*T34*T37*T32*(1/24)*T27*(1/365))</f>
        <v>6.9164857447532411</v>
      </c>
      <c r="U3" s="94" t="s">
        <v>110</v>
      </c>
      <c r="V3" s="277" t="s">
        <v>177</v>
      </c>
      <c r="W3" s="306">
        <f>1/((1/W17)+(1/W19)+(1/W20))</f>
        <v>0.37613552268925315</v>
      </c>
      <c r="X3" s="275" t="s">
        <v>176</v>
      </c>
      <c r="Y3" s="77" t="s">
        <v>83</v>
      </c>
      <c r="Z3" s="224">
        <f>(Z17*Z18*Z19)/(Z20*Z23*Z30*Z35*Z33*Z34*Z37*Z32*(1/24)*Z27*(1/365))</f>
        <v>6.4579698830562471</v>
      </c>
      <c r="AA3" s="78" t="s">
        <v>110</v>
      </c>
      <c r="AB3" s="77" t="s">
        <v>83</v>
      </c>
      <c r="AC3" s="224">
        <f>(AC17*AC18*AC19)/(AC20*AC23*AC30*AC35*AC33*AC34*AC37*AC32*(1/24)*AC27*(1/365))</f>
        <v>7.684984160836934</v>
      </c>
      <c r="AD3" s="78" t="s">
        <v>110</v>
      </c>
      <c r="AE3" s="268" t="s">
        <v>177</v>
      </c>
      <c r="AF3" s="309">
        <f>1/((1/AF17)+(1/AF19)+(1/AF20))</f>
        <v>0.24473941972817465</v>
      </c>
      <c r="AG3" s="262" t="s">
        <v>176</v>
      </c>
      <c r="AH3" s="176" t="s">
        <v>83</v>
      </c>
      <c r="AI3" s="227">
        <f>(AI17*AI18*AI19)/(AI20*AI23*AI30*AI35*AI33*AI34*AI37*AI32*(1/24)*AI27*(1/365))</f>
        <v>14.530432236876557</v>
      </c>
      <c r="AJ3" s="177" t="s">
        <v>110</v>
      </c>
      <c r="AK3" s="176" t="s">
        <v>83</v>
      </c>
      <c r="AL3" s="227">
        <f>(AL17*AL18*AL19)/(AL20*AL23*AL30*AL35*AL33*AL34*AL37*AL32*(1/24)*AL27*(1/365))</f>
        <v>17.2912143618831</v>
      </c>
      <c r="AM3" s="177" t="s">
        <v>110</v>
      </c>
    </row>
    <row r="4" spans="1:39" s="1" customFormat="1" ht="14.25" x14ac:dyDescent="0.2">
      <c r="A4" s="387"/>
      <c r="B4" s="388"/>
      <c r="C4" s="389"/>
      <c r="D4" s="271" t="s">
        <v>175</v>
      </c>
      <c r="E4" s="322">
        <f>E2/E51</f>
        <v>7.0984770444950177E-4</v>
      </c>
      <c r="F4" s="273" t="s">
        <v>178</v>
      </c>
      <c r="G4" s="85" t="s">
        <v>84</v>
      </c>
      <c r="H4" s="233">
        <f>(H17*H18*H19)/(H20*H24*H35*H33*H34*H37*H27*(1/365)*((H32*H30)+(H36*H29))*(1/24))</f>
        <v>4.0302707464374805</v>
      </c>
      <c r="I4" s="86" t="s">
        <v>109</v>
      </c>
      <c r="J4" s="85" t="s">
        <v>84</v>
      </c>
      <c r="K4" s="233">
        <f>(K17*K18*K19)/(K20*K24*K35*K33*K34*K39*K27*(1/365)*((K32*K30)+(K36*K29))*(1/24))</f>
        <v>4.7960221882606007</v>
      </c>
      <c r="L4" s="86" t="s">
        <v>109</v>
      </c>
      <c r="M4" s="264" t="s">
        <v>175</v>
      </c>
      <c r="N4" s="324">
        <f>N2/N41</f>
        <v>6.613663639452339E-4</v>
      </c>
      <c r="O4" s="266" t="s">
        <v>178</v>
      </c>
      <c r="P4" s="93" t="s">
        <v>84</v>
      </c>
      <c r="Q4" s="230">
        <f>(Q17*Q18*Q19)/(Q20*Q24*Q30*Q35*Q33*Q34*Q37*Q32*(1/24)*Q27*(1/365))</f>
        <v>5.8624318277679581</v>
      </c>
      <c r="R4" s="94" t="s">
        <v>109</v>
      </c>
      <c r="S4" s="93" t="s">
        <v>84</v>
      </c>
      <c r="T4" s="230">
        <f>(T17*T18*T19)/(T20*T24*T30*T35*T33*T34*T37*T32*(1/24)*T27*(1/365))</f>
        <v>6.9762938750438694</v>
      </c>
      <c r="U4" s="94" t="s">
        <v>109</v>
      </c>
      <c r="V4" s="276" t="s">
        <v>175</v>
      </c>
      <c r="W4" s="305">
        <f>W2/W41</f>
        <v>7.3485151549470423E-4</v>
      </c>
      <c r="X4" s="278" t="s">
        <v>178</v>
      </c>
      <c r="Y4" s="77" t="s">
        <v>84</v>
      </c>
      <c r="Z4" s="224">
        <f>(Z17*Z18*Z19)/(Z20*Z24*Z30*Z35*Z33*Z34*Z37*Z32*(1/24)*Z27*(1/365))</f>
        <v>6.5138131419643983</v>
      </c>
      <c r="AA4" s="78" t="s">
        <v>109</v>
      </c>
      <c r="AB4" s="77" t="s">
        <v>84</v>
      </c>
      <c r="AC4" s="224">
        <f>(AC17*AC18*AC19)/(AC20*AC24*AC30*AC35*AC33*AC34*AC37*AC32*(1/24)*AC27*(1/365))</f>
        <v>7.7514376389376336</v>
      </c>
      <c r="AD4" s="78" t="s">
        <v>109</v>
      </c>
      <c r="AE4" s="267" t="s">
        <v>175</v>
      </c>
      <c r="AF4" s="323">
        <f>AF2/AF41</f>
        <v>6.4824997925884778E-4</v>
      </c>
      <c r="AG4" s="269" t="s">
        <v>178</v>
      </c>
      <c r="AH4" s="176" t="s">
        <v>84</v>
      </c>
      <c r="AI4" s="227">
        <f>(AI17*AI18*AI19)/(AI20*AI24*AI30*AI35*AI33*AI34*AI37*AI32*(1/24)*AI27*(1/365))</f>
        <v>14.656079569419893</v>
      </c>
      <c r="AJ4" s="177" t="s">
        <v>109</v>
      </c>
      <c r="AK4" s="176" t="s">
        <v>84</v>
      </c>
      <c r="AL4" s="227">
        <f>(AL17*AL18*AL19)/(AL20*AL24*AL30*AL35*AL33*AL34*AL37*AL32*(1/24)*AL27*(1/365))</f>
        <v>17.440734687609673</v>
      </c>
      <c r="AM4" s="177" t="s">
        <v>109</v>
      </c>
    </row>
    <row r="5" spans="1:39" s="1" customFormat="1" ht="15" thickBot="1" x14ac:dyDescent="0.25">
      <c r="A5" s="390"/>
      <c r="B5" s="391"/>
      <c r="C5" s="392"/>
      <c r="D5" s="272" t="s">
        <v>177</v>
      </c>
      <c r="E5" s="304">
        <f>E3/E51</f>
        <v>1.5001825359908296E-2</v>
      </c>
      <c r="F5" s="274" t="s">
        <v>178</v>
      </c>
      <c r="G5" s="85" t="s">
        <v>85</v>
      </c>
      <c r="H5" s="233">
        <f>(H17*H18*H19)/(H20*H25*H35*H33*H34*H37*H27*(1/365)*((H32*H30)+(H36*H29))*(1/24))</f>
        <v>1.4083166020439293</v>
      </c>
      <c r="I5" s="86" t="s">
        <v>109</v>
      </c>
      <c r="J5" s="85" t="s">
        <v>85</v>
      </c>
      <c r="K5" s="233">
        <f>(K17*K18*K19)/(K20*K25*K35*K33*K34*K40*K27*(1/365)*((K32*K30)+(K36*K29))*(1/24))</f>
        <v>1.6758967564322762</v>
      </c>
      <c r="L5" s="86" t="s">
        <v>109</v>
      </c>
      <c r="M5" s="265" t="s">
        <v>177</v>
      </c>
      <c r="N5" s="308">
        <f>N3/N41</f>
        <v>1.252531290555214E-2</v>
      </c>
      <c r="O5" s="261" t="s">
        <v>178</v>
      </c>
      <c r="P5" s="93" t="s">
        <v>85</v>
      </c>
      <c r="Q5" s="230">
        <f>(Q17*Q18*Q19)/(Q20*Q25*Q30*Q35*Q33*Q34*Q37*Q32*(1/24)*Q27*(1/365))</f>
        <v>2.0485373293330995</v>
      </c>
      <c r="R5" s="94" t="s">
        <v>109</v>
      </c>
      <c r="S5" s="93" t="s">
        <v>85</v>
      </c>
      <c r="T5" s="230">
        <f>(T17*T18*T19)/(T20*T25*T30*T35*T33*T34*T37*T32*(1/24)*T27*(1/365))</f>
        <v>2.4377594219063883</v>
      </c>
      <c r="U5" s="94" t="s">
        <v>109</v>
      </c>
      <c r="V5" s="277" t="s">
        <v>177</v>
      </c>
      <c r="W5" s="306">
        <f>W3/W41</f>
        <v>1.3917014339502381E-2</v>
      </c>
      <c r="X5" s="279" t="s">
        <v>178</v>
      </c>
      <c r="Y5" s="77" t="s">
        <v>85</v>
      </c>
      <c r="Z5" s="224">
        <f>(Z17*Z18*Z19)/(Z20*Z25*Z30*Z35*Z33*Z34*Z37*Z32*(1/24)*Z27*(1/365))</f>
        <v>2.2761525881478888</v>
      </c>
      <c r="AA5" s="78" t="s">
        <v>109</v>
      </c>
      <c r="AB5" s="77" t="s">
        <v>85</v>
      </c>
      <c r="AC5" s="224">
        <f>(AC17*AC18*AC19)/(AC20*AC25*AC30*AC35*AC33*AC34*AC37*AC32*(1/24)*AC27*(1/365))</f>
        <v>2.7086215798959867</v>
      </c>
      <c r="AD5" s="78" t="s">
        <v>109</v>
      </c>
      <c r="AE5" s="268" t="s">
        <v>177</v>
      </c>
      <c r="AF5" s="309">
        <f>AF3/AF41</f>
        <v>9.0553585299424713E-3</v>
      </c>
      <c r="AG5" s="263" t="s">
        <v>178</v>
      </c>
      <c r="AH5" s="176" t="s">
        <v>85</v>
      </c>
      <c r="AI5" s="227">
        <f>(AI17*AI18*AI19)/(AI20*AI25*AI30*AI35*AI33*AI34*AI37*AI32*(1/24)*AI27*(1/365))</f>
        <v>5.1213433233327486</v>
      </c>
      <c r="AJ5" s="177" t="s">
        <v>109</v>
      </c>
      <c r="AK5" s="176" t="s">
        <v>85</v>
      </c>
      <c r="AL5" s="227">
        <f>(AL17*AL18*AL19)/(AL20*AL25*AL30*AL35*AL33*AL34*AL37*AL32*(1/24)*AL27*(1/365))</f>
        <v>6.0943985547659718</v>
      </c>
      <c r="AM5" s="177" t="s">
        <v>109</v>
      </c>
    </row>
    <row r="6" spans="1:39" s="1" customFormat="1" ht="15.75" thickTop="1" thickBot="1" x14ac:dyDescent="0.25">
      <c r="A6" s="28" t="s">
        <v>21</v>
      </c>
      <c r="B6" s="55">
        <v>1</v>
      </c>
      <c r="C6" s="28" t="s">
        <v>138</v>
      </c>
      <c r="D6" s="271" t="s">
        <v>175</v>
      </c>
      <c r="E6" s="322">
        <f>E2*E13*E50*E52</f>
        <v>2.2078182115688806E-13</v>
      </c>
      <c r="F6" s="273" t="s">
        <v>179</v>
      </c>
      <c r="G6" s="87" t="s">
        <v>86</v>
      </c>
      <c r="H6" s="234">
        <f>(H17*H18*H19)/(H20*H26*H35*H33*H34*H37*H27*(1/365)*((H32*H30)+(H36*H29))*(1/24))</f>
        <v>0.90150793012417318</v>
      </c>
      <c r="I6" s="48" t="s">
        <v>109</v>
      </c>
      <c r="J6" s="87" t="s">
        <v>86</v>
      </c>
      <c r="K6" s="234">
        <f>(K17*K18*K19)/(K20*K26*K35*K33*K34*K41*K27*(1/365)*((K32*K30)+(K36*K29))*(1/24))</f>
        <v>1.0727944368477662</v>
      </c>
      <c r="L6" s="48" t="s">
        <v>109</v>
      </c>
      <c r="M6" s="264" t="s">
        <v>175</v>
      </c>
      <c r="N6" s="324">
        <f>N2*N13*N40*N42</f>
        <v>2.0570281395356064E-13</v>
      </c>
      <c r="O6" s="266" t="s">
        <v>179</v>
      </c>
      <c r="P6" s="95" t="s">
        <v>86</v>
      </c>
      <c r="Q6" s="231">
        <f>(Q17*Q18*Q19)/(Q20*Q26*Q30*Q35*Q33*Q34*Q37*Q32*(1/24)*Q27*(1/365))</f>
        <v>1.3113334351586221</v>
      </c>
      <c r="R6" s="96" t="s">
        <v>109</v>
      </c>
      <c r="S6" s="95" t="s">
        <v>86</v>
      </c>
      <c r="T6" s="231">
        <f>(T17*T18*T19)/(T20*T26*T30*T35*T33*T34*T37*T32*(1/24)*T27*(1/365))</f>
        <v>1.5604867878387603</v>
      </c>
      <c r="U6" s="96" t="s">
        <v>109</v>
      </c>
      <c r="V6" s="276" t="s">
        <v>175</v>
      </c>
      <c r="W6" s="305">
        <f>W2*W13*W40*W42</f>
        <v>2.2855868217062292E-13</v>
      </c>
      <c r="X6" s="278" t="s">
        <v>179</v>
      </c>
      <c r="Y6" s="79" t="s">
        <v>86</v>
      </c>
      <c r="Z6" s="225">
        <f>(Z17*Z18*Z19)/(Z20*Z26*Z30*Z35*Z33*Z34*Z37*Z32*(1/24)*Z27*(1/365))</f>
        <v>1.4570371501762469</v>
      </c>
      <c r="AA6" s="80" t="s">
        <v>109</v>
      </c>
      <c r="AB6" s="79" t="s">
        <v>86</v>
      </c>
      <c r="AC6" s="225">
        <f>(AC17*AC18*AC19)/(AC20*AC26*AC30*AC35*AC33*AC34*AC37*AC32*(1/24)*AC27*(1/365))</f>
        <v>1.7338742087097339</v>
      </c>
      <c r="AD6" s="80" t="s">
        <v>109</v>
      </c>
      <c r="AE6" s="267" t="s">
        <v>175</v>
      </c>
      <c r="AF6" s="323">
        <f>AF2*AF13*AF40*AF42</f>
        <v>2.016232638192112E-13</v>
      </c>
      <c r="AG6" s="269" t="s">
        <v>179</v>
      </c>
      <c r="AH6" s="178" t="s">
        <v>86</v>
      </c>
      <c r="AI6" s="228">
        <f>(AI17*AI18*AI19)/(AI20*AI26*AI30*AI35*AI33*AI34*AI37*AI32*(1/24)*AI27*(1/365))</f>
        <v>3.2783335878965549</v>
      </c>
      <c r="AJ6" s="179" t="s">
        <v>109</v>
      </c>
      <c r="AK6" s="178" t="s">
        <v>86</v>
      </c>
      <c r="AL6" s="228">
        <f>(AL17*AL18*AL19)/(AL20*AL26*AL30*AL35*AL33*AL34*AL37*AL32*(1/24)*AL27*(1/365))</f>
        <v>3.9012169695969012</v>
      </c>
      <c r="AM6" s="179" t="s">
        <v>109</v>
      </c>
    </row>
    <row r="7" spans="1:39" s="1" customFormat="1" ht="15" thickBot="1" x14ac:dyDescent="0.25">
      <c r="A7" s="38" t="s">
        <v>22</v>
      </c>
      <c r="B7" s="191">
        <v>1.5417408700798101E-4</v>
      </c>
      <c r="C7" s="40" t="s">
        <v>11</v>
      </c>
      <c r="D7" s="272" t="s">
        <v>177</v>
      </c>
      <c r="E7" s="304">
        <f>E3*E13*E50*E52</f>
        <v>4.665973141670933E-12</v>
      </c>
      <c r="F7" s="274" t="s">
        <v>179</v>
      </c>
      <c r="G7" s="84" t="s">
        <v>82</v>
      </c>
      <c r="H7" s="232">
        <f>H2/H42</f>
        <v>2.964959414630617E-2</v>
      </c>
      <c r="I7" s="49" t="s">
        <v>105</v>
      </c>
      <c r="J7" s="84" t="s">
        <v>82</v>
      </c>
      <c r="K7" s="232">
        <f>K2/K42</f>
        <v>3.5283017034104337E-2</v>
      </c>
      <c r="L7" s="49" t="s">
        <v>105</v>
      </c>
      <c r="M7" s="265" t="s">
        <v>177</v>
      </c>
      <c r="N7" s="308">
        <f>N3*N13*N40*N42</f>
        <v>3.8957108355971318E-12</v>
      </c>
      <c r="O7" s="261" t="s">
        <v>179</v>
      </c>
      <c r="P7" s="91" t="s">
        <v>82</v>
      </c>
      <c r="Q7" s="229">
        <f>Q2/Q42</f>
        <v>4.3128299645216951E-2</v>
      </c>
      <c r="R7" s="92" t="s">
        <v>105</v>
      </c>
      <c r="S7" s="91" t="s">
        <v>82</v>
      </c>
      <c r="T7" s="229">
        <f>T2/T42</f>
        <v>5.1322676577808167E-2</v>
      </c>
      <c r="U7" s="92" t="s">
        <v>105</v>
      </c>
      <c r="V7" s="277" t="s">
        <v>177</v>
      </c>
      <c r="W7" s="306">
        <f>W3*W13*W40*W42</f>
        <v>4.3285675951079252E-12</v>
      </c>
      <c r="X7" s="279" t="s">
        <v>179</v>
      </c>
      <c r="Y7" s="75" t="s">
        <v>82</v>
      </c>
      <c r="Z7" s="223">
        <f>Z2/Z42</f>
        <v>4.7920332939129943E-2</v>
      </c>
      <c r="AA7" s="76" t="s">
        <v>105</v>
      </c>
      <c r="AB7" s="75" t="s">
        <v>82</v>
      </c>
      <c r="AC7" s="223">
        <f>AC2/AC42</f>
        <v>5.7025196197564632E-2</v>
      </c>
      <c r="AD7" s="76" t="s">
        <v>105</v>
      </c>
      <c r="AE7" s="268" t="s">
        <v>177</v>
      </c>
      <c r="AF7" s="309">
        <f>AF3*AF13*AF40*AF42</f>
        <v>2.8164612422318344E-12</v>
      </c>
      <c r="AG7" s="263" t="s">
        <v>179</v>
      </c>
      <c r="AH7" s="175" t="s">
        <v>82</v>
      </c>
      <c r="AI7" s="226">
        <f>AI2/AI42</f>
        <v>0.10782074911304237</v>
      </c>
      <c r="AJ7" s="50" t="s">
        <v>105</v>
      </c>
      <c r="AK7" s="175" t="s">
        <v>82</v>
      </c>
      <c r="AL7" s="226">
        <f>AL2/AL42</f>
        <v>0.12830669144452042</v>
      </c>
      <c r="AM7" s="50" t="s">
        <v>105</v>
      </c>
    </row>
    <row r="8" spans="1:39" s="1" customFormat="1" ht="14.25" x14ac:dyDescent="0.2">
      <c r="A8" s="38" t="s">
        <v>209</v>
      </c>
      <c r="B8" s="151">
        <v>4.9109405245458101E-5</v>
      </c>
      <c r="C8" s="38" t="s">
        <v>11</v>
      </c>
      <c r="D8" s="28" t="s">
        <v>21</v>
      </c>
      <c r="E8" s="32">
        <f>B6</f>
        <v>1</v>
      </c>
      <c r="F8" s="28" t="s">
        <v>138</v>
      </c>
      <c r="G8" s="85" t="s">
        <v>83</v>
      </c>
      <c r="H8" s="233">
        <f>H3/H42</f>
        <v>0.14784160395007101</v>
      </c>
      <c r="I8" s="86" t="s">
        <v>106</v>
      </c>
      <c r="J8" s="85" t="s">
        <v>83</v>
      </c>
      <c r="K8" s="233">
        <f>K3/K42</f>
        <v>0.17593150870058444</v>
      </c>
      <c r="L8" s="86" t="s">
        <v>106</v>
      </c>
      <c r="M8" s="28" t="s">
        <v>21</v>
      </c>
      <c r="N8" s="32">
        <f>B6</f>
        <v>1</v>
      </c>
      <c r="O8" s="28" t="s">
        <v>138</v>
      </c>
      <c r="P8" s="93" t="s">
        <v>83</v>
      </c>
      <c r="Q8" s="230">
        <f>Q3/Q42</f>
        <v>0.2150503971057732</v>
      </c>
      <c r="R8" s="94" t="s">
        <v>106</v>
      </c>
      <c r="S8" s="93" t="s">
        <v>83</v>
      </c>
      <c r="T8" s="230">
        <f>T3/T42</f>
        <v>0.25590997255587017</v>
      </c>
      <c r="U8" s="94" t="s">
        <v>106</v>
      </c>
      <c r="V8" s="28" t="s">
        <v>21</v>
      </c>
      <c r="W8" s="32">
        <f>B6</f>
        <v>1</v>
      </c>
      <c r="X8" s="28" t="s">
        <v>138</v>
      </c>
      <c r="Y8" s="77" t="s">
        <v>83</v>
      </c>
      <c r="Z8" s="224">
        <f>Z3/Z42</f>
        <v>0.23894488567308139</v>
      </c>
      <c r="AA8" s="78" t="s">
        <v>106</v>
      </c>
      <c r="AB8" s="77" t="s">
        <v>83</v>
      </c>
      <c r="AC8" s="224">
        <f>AC3/AC42</f>
        <v>0.28434441395096682</v>
      </c>
      <c r="AD8" s="78" t="s">
        <v>106</v>
      </c>
      <c r="AE8" s="28" t="s">
        <v>21</v>
      </c>
      <c r="AF8" s="32">
        <f>B6</f>
        <v>1</v>
      </c>
      <c r="AG8" s="28" t="s">
        <v>138</v>
      </c>
      <c r="AH8" s="176" t="s">
        <v>83</v>
      </c>
      <c r="AI8" s="227">
        <f>AI3/AI42</f>
        <v>0.53762599276443312</v>
      </c>
      <c r="AJ8" s="177" t="s">
        <v>106</v>
      </c>
      <c r="AK8" s="176" t="s">
        <v>83</v>
      </c>
      <c r="AL8" s="227">
        <f>AL3/AL42</f>
        <v>0.63977493138967534</v>
      </c>
      <c r="AM8" s="177" t="s">
        <v>106</v>
      </c>
    </row>
    <row r="9" spans="1:39" s="1" customFormat="1" ht="19.5" x14ac:dyDescent="0.35">
      <c r="A9" s="38" t="s">
        <v>210</v>
      </c>
      <c r="B9" s="151">
        <v>5.0319999999999999E-5</v>
      </c>
      <c r="C9" s="38" t="s">
        <v>11</v>
      </c>
      <c r="D9" s="54" t="s">
        <v>206</v>
      </c>
      <c r="E9" s="32">
        <f>E38</f>
        <v>1</v>
      </c>
      <c r="F9" s="28"/>
      <c r="G9" s="85" t="s">
        <v>84</v>
      </c>
      <c r="H9" s="233">
        <f>H4/H42</f>
        <v>0.14912001761818694</v>
      </c>
      <c r="I9" s="86" t="s">
        <v>105</v>
      </c>
      <c r="J9" s="85" t="s">
        <v>84</v>
      </c>
      <c r="K9" s="233">
        <f>K4/K42</f>
        <v>0.17745282096564241</v>
      </c>
      <c r="L9" s="86" t="s">
        <v>105</v>
      </c>
      <c r="M9" s="54" t="s">
        <v>207</v>
      </c>
      <c r="N9" s="32">
        <f>N30</f>
        <v>1</v>
      </c>
      <c r="O9" s="28"/>
      <c r="P9" s="93" t="s">
        <v>84</v>
      </c>
      <c r="Q9" s="230">
        <f>Q4/Q42</f>
        <v>0.21690997762741468</v>
      </c>
      <c r="R9" s="94" t="s">
        <v>105</v>
      </c>
      <c r="S9" s="93" t="s">
        <v>84</v>
      </c>
      <c r="T9" s="230">
        <f>T4/T42</f>
        <v>0.25812287337662343</v>
      </c>
      <c r="U9" s="94" t="s">
        <v>105</v>
      </c>
      <c r="V9" s="54" t="s">
        <v>208</v>
      </c>
      <c r="W9" s="32">
        <f>W30</f>
        <v>1</v>
      </c>
      <c r="X9" s="28"/>
      <c r="Y9" s="77" t="s">
        <v>84</v>
      </c>
      <c r="Z9" s="224">
        <f>Z4/Z42</f>
        <v>0.24101108625268297</v>
      </c>
      <c r="AA9" s="78" t="s">
        <v>105</v>
      </c>
      <c r="AB9" s="77" t="s">
        <v>84</v>
      </c>
      <c r="AC9" s="224">
        <f>AC4/AC42</f>
        <v>0.28680319264069276</v>
      </c>
      <c r="AD9" s="78" t="s">
        <v>105</v>
      </c>
      <c r="AE9" s="54" t="s">
        <v>140</v>
      </c>
      <c r="AF9" s="32">
        <f>AF30</f>
        <v>1</v>
      </c>
      <c r="AG9" s="28"/>
      <c r="AH9" s="176" t="s">
        <v>84</v>
      </c>
      <c r="AI9" s="227">
        <f>AI4/AI42</f>
        <v>0.5422749440685366</v>
      </c>
      <c r="AJ9" s="177" t="s">
        <v>105</v>
      </c>
      <c r="AK9" s="176" t="s">
        <v>84</v>
      </c>
      <c r="AL9" s="227">
        <f>AL4/AL42</f>
        <v>0.64530718344155857</v>
      </c>
      <c r="AM9" s="177" t="s">
        <v>105</v>
      </c>
    </row>
    <row r="10" spans="1:39" s="1" customFormat="1" ht="14.25" x14ac:dyDescent="0.2">
      <c r="A10" s="57" t="s">
        <v>113</v>
      </c>
      <c r="B10" s="189">
        <v>3.19428</v>
      </c>
      <c r="C10" s="38" t="s">
        <v>198</v>
      </c>
      <c r="D10" s="54" t="s">
        <v>65</v>
      </c>
      <c r="E10" s="32">
        <f>B33</f>
        <v>0</v>
      </c>
      <c r="F10" s="28"/>
      <c r="G10" s="85" t="s">
        <v>85</v>
      </c>
      <c r="H10" s="233">
        <f>H5/H42</f>
        <v>5.2107714275625439E-2</v>
      </c>
      <c r="I10" s="86" t="s">
        <v>105</v>
      </c>
      <c r="J10" s="85" t="s">
        <v>85</v>
      </c>
      <c r="K10" s="233">
        <f>K5/K42</f>
        <v>6.200817998799428E-2</v>
      </c>
      <c r="L10" s="86" t="s">
        <v>105</v>
      </c>
      <c r="M10" s="54" t="s">
        <v>65</v>
      </c>
      <c r="N10" s="32">
        <f>B33</f>
        <v>0</v>
      </c>
      <c r="O10" s="28"/>
      <c r="P10" s="93" t="s">
        <v>85</v>
      </c>
      <c r="Q10" s="230">
        <f>Q5/Q42</f>
        <v>7.5795881185324765E-2</v>
      </c>
      <c r="R10" s="94" t="s">
        <v>105</v>
      </c>
      <c r="S10" s="93" t="s">
        <v>85</v>
      </c>
      <c r="T10" s="230">
        <f>T5/T42</f>
        <v>9.0197098610536458E-2</v>
      </c>
      <c r="U10" s="94" t="s">
        <v>105</v>
      </c>
      <c r="V10" s="54" t="s">
        <v>65</v>
      </c>
      <c r="W10" s="32">
        <f>B33</f>
        <v>0</v>
      </c>
      <c r="X10" s="28"/>
      <c r="Y10" s="77" t="s">
        <v>85</v>
      </c>
      <c r="Z10" s="224">
        <f>Z5/Z42</f>
        <v>8.4217645761471976E-2</v>
      </c>
      <c r="AA10" s="78" t="s">
        <v>105</v>
      </c>
      <c r="AB10" s="77" t="s">
        <v>85</v>
      </c>
      <c r="AC10" s="224">
        <f>AC5/AC42</f>
        <v>0.10021899845615161</v>
      </c>
      <c r="AD10" s="78" t="s">
        <v>105</v>
      </c>
      <c r="AE10" s="54" t="s">
        <v>65</v>
      </c>
      <c r="AF10" s="32">
        <f>B33</f>
        <v>0</v>
      </c>
      <c r="AG10" s="28"/>
      <c r="AH10" s="176" t="s">
        <v>85</v>
      </c>
      <c r="AI10" s="227">
        <f>AI5/AI42</f>
        <v>0.18948970296331188</v>
      </c>
      <c r="AJ10" s="177" t="s">
        <v>105</v>
      </c>
      <c r="AK10" s="176" t="s">
        <v>85</v>
      </c>
      <c r="AL10" s="227">
        <f>AL5/AL42</f>
        <v>0.22549274652634119</v>
      </c>
      <c r="AM10" s="177" t="s">
        <v>105</v>
      </c>
    </row>
    <row r="11" spans="1:39" s="1" customFormat="1" ht="15" thickBot="1" x14ac:dyDescent="0.25">
      <c r="A11" s="57" t="s">
        <v>23</v>
      </c>
      <c r="B11" s="151">
        <v>0.64061199999999996</v>
      </c>
      <c r="C11" s="38" t="s">
        <v>199</v>
      </c>
      <c r="D11" s="54" t="s">
        <v>1</v>
      </c>
      <c r="E11" s="51">
        <f>0.693/E13</f>
        <v>2.3099999999999999E-2</v>
      </c>
      <c r="F11" s="54"/>
      <c r="G11" s="87" t="s">
        <v>86</v>
      </c>
      <c r="H11" s="234">
        <f>H6/H42</f>
        <v>3.3355793414594444E-2</v>
      </c>
      <c r="I11" s="86" t="s">
        <v>105</v>
      </c>
      <c r="J11" s="87" t="s">
        <v>86</v>
      </c>
      <c r="K11" s="234">
        <f>K6/K42</f>
        <v>3.9693394163367389E-2</v>
      </c>
      <c r="L11" s="86" t="s">
        <v>105</v>
      </c>
      <c r="M11" s="54" t="s">
        <v>1</v>
      </c>
      <c r="N11" s="51">
        <f>0.693/N13</f>
        <v>2.3099999999999999E-2</v>
      </c>
      <c r="O11" s="28"/>
      <c r="P11" s="95" t="s">
        <v>86</v>
      </c>
      <c r="Q11" s="231">
        <f>Q6/Q42</f>
        <v>4.8519337100869066E-2</v>
      </c>
      <c r="R11" s="94" t="s">
        <v>105</v>
      </c>
      <c r="S11" s="95" t="s">
        <v>86</v>
      </c>
      <c r="T11" s="231">
        <f>T6/T42</f>
        <v>5.7738011150034185E-2</v>
      </c>
      <c r="U11" s="94" t="s">
        <v>105</v>
      </c>
      <c r="V11" s="54" t="s">
        <v>1</v>
      </c>
      <c r="W11" s="51">
        <f>0.693/W13</f>
        <v>2.3099999999999999E-2</v>
      </c>
      <c r="X11" s="54"/>
      <c r="Y11" s="79" t="s">
        <v>86</v>
      </c>
      <c r="Z11" s="225">
        <f>Z6/Z42</f>
        <v>5.3910374556521187E-2</v>
      </c>
      <c r="AA11" s="78" t="s">
        <v>105</v>
      </c>
      <c r="AB11" s="79" t="s">
        <v>86</v>
      </c>
      <c r="AC11" s="225">
        <f>AC6/AC42</f>
        <v>6.4153345722260224E-2</v>
      </c>
      <c r="AD11" s="78" t="s">
        <v>105</v>
      </c>
      <c r="AE11" s="54" t="s">
        <v>1</v>
      </c>
      <c r="AF11" s="51">
        <f>0.693/AF13</f>
        <v>2.3099999999999999E-2</v>
      </c>
      <c r="AG11" s="54"/>
      <c r="AH11" s="178" t="s">
        <v>86</v>
      </c>
      <c r="AI11" s="228">
        <f>AI6/AI42</f>
        <v>0.12129834275217266</v>
      </c>
      <c r="AJ11" s="177" t="s">
        <v>105</v>
      </c>
      <c r="AK11" s="178" t="s">
        <v>86</v>
      </c>
      <c r="AL11" s="228">
        <f>AL6/AL42</f>
        <v>0.14434502787508549</v>
      </c>
      <c r="AM11" s="177" t="s">
        <v>105</v>
      </c>
    </row>
    <row r="12" spans="1:39" s="1" customFormat="1" ht="14.25" x14ac:dyDescent="0.2">
      <c r="A12" s="57" t="s">
        <v>114</v>
      </c>
      <c r="B12" s="151">
        <v>0.63512000000000002</v>
      </c>
      <c r="C12" s="38" t="s">
        <v>198</v>
      </c>
      <c r="D12" s="28" t="s">
        <v>126</v>
      </c>
      <c r="E12" s="51">
        <f>(1-EXP(-E11*E9))</f>
        <v>2.2835237588950674E-2</v>
      </c>
      <c r="F12" s="28"/>
      <c r="G12" s="84" t="s">
        <v>82</v>
      </c>
      <c r="H12" s="232">
        <f>H2*H21*H43*H44</f>
        <v>9.2218251198835412E-9</v>
      </c>
      <c r="I12" s="88" t="s">
        <v>107</v>
      </c>
      <c r="J12" s="84" t="s">
        <v>82</v>
      </c>
      <c r="K12" s="232">
        <f>K2*K21*K43*K44</f>
        <v>1.0973971892661411E-8</v>
      </c>
      <c r="L12" s="88" t="s">
        <v>107</v>
      </c>
      <c r="M12" s="28" t="s">
        <v>126</v>
      </c>
      <c r="N12" s="51">
        <f>(1-EXP(-N11*N9))</f>
        <v>2.2835237588950674E-2</v>
      </c>
      <c r="O12" s="28"/>
      <c r="P12" s="91" t="s">
        <v>82</v>
      </c>
      <c r="Q12" s="229">
        <f>Q2*Q21*Q43*Q44</f>
        <v>1.3414066819382597E-8</v>
      </c>
      <c r="R12" s="97" t="s">
        <v>107</v>
      </c>
      <c r="S12" s="91" t="s">
        <v>82</v>
      </c>
      <c r="T12" s="229">
        <f>T2*T21*T43*T44</f>
        <v>1.5962739515065288E-8</v>
      </c>
      <c r="U12" s="97" t="s">
        <v>107</v>
      </c>
      <c r="V12" s="28" t="s">
        <v>126</v>
      </c>
      <c r="W12" s="51">
        <f>(1-EXP(-W11*W9))</f>
        <v>2.2835237588950674E-2</v>
      </c>
      <c r="X12" s="28"/>
      <c r="Y12" s="75" t="s">
        <v>82</v>
      </c>
      <c r="Z12" s="223">
        <f>Z2*Z21*Z43*Z44</f>
        <v>1.4904518688202883E-8</v>
      </c>
      <c r="AA12" s="81" t="s">
        <v>107</v>
      </c>
      <c r="AB12" s="75" t="s">
        <v>82</v>
      </c>
      <c r="AC12" s="223">
        <f>AC2*AC21*AC43*AC44</f>
        <v>1.7736377238961436E-8</v>
      </c>
      <c r="AD12" s="81" t="s">
        <v>107</v>
      </c>
      <c r="AE12" s="28" t="s">
        <v>126</v>
      </c>
      <c r="AF12" s="51">
        <f>(1-EXP(-AF11*AF9))</f>
        <v>2.2835237588950674E-2</v>
      </c>
      <c r="AG12" s="28"/>
      <c r="AH12" s="175" t="s">
        <v>82</v>
      </c>
      <c r="AI12" s="226">
        <f>AI2*AI21*AI43*AI44</f>
        <v>3.3535167048456491E-8</v>
      </c>
      <c r="AJ12" s="180" t="s">
        <v>107</v>
      </c>
      <c r="AK12" s="175" t="s">
        <v>82</v>
      </c>
      <c r="AL12" s="226">
        <f>AL2*AL21*AL43*AL44</f>
        <v>3.9906848787663229E-8</v>
      </c>
      <c r="AM12" s="180" t="s">
        <v>107</v>
      </c>
    </row>
    <row r="13" spans="1:39" s="1" customFormat="1" ht="14.25" x14ac:dyDescent="0.2">
      <c r="A13" s="57" t="s">
        <v>115</v>
      </c>
      <c r="B13" s="151">
        <v>1.817564</v>
      </c>
      <c r="C13" s="38" t="s">
        <v>198</v>
      </c>
      <c r="D13" s="33" t="s">
        <v>9</v>
      </c>
      <c r="E13" s="53">
        <f>B16</f>
        <v>30</v>
      </c>
      <c r="F13" s="54" t="s">
        <v>10</v>
      </c>
      <c r="G13" s="85" t="s">
        <v>83</v>
      </c>
      <c r="H13" s="233">
        <f>H3*H21*H43*H45</f>
        <v>4.5982734547497717E-11</v>
      </c>
      <c r="I13" s="86" t="s">
        <v>110</v>
      </c>
      <c r="J13" s="85" t="s">
        <v>83</v>
      </c>
      <c r="K13" s="233">
        <f>K3*K21*K43*K45</f>
        <v>5.4719454111522268E-11</v>
      </c>
      <c r="L13" s="86" t="s">
        <v>110</v>
      </c>
      <c r="M13" s="33" t="s">
        <v>9</v>
      </c>
      <c r="N13" s="53">
        <f>B16</f>
        <v>30</v>
      </c>
      <c r="O13" s="28"/>
      <c r="P13" s="93" t="s">
        <v>83</v>
      </c>
      <c r="Q13" s="230">
        <f>Q3*Q21*Q43*Q45</f>
        <v>6.6886485672790164E-11</v>
      </c>
      <c r="R13" s="94" t="s">
        <v>110</v>
      </c>
      <c r="S13" s="93" t="s">
        <v>83</v>
      </c>
      <c r="T13" s="230">
        <f>T3*T21*T43*T45</f>
        <v>7.9594917950620305E-11</v>
      </c>
      <c r="U13" s="94" t="s">
        <v>110</v>
      </c>
      <c r="V13" s="33" t="s">
        <v>9</v>
      </c>
      <c r="W13" s="53">
        <f>B16</f>
        <v>30</v>
      </c>
      <c r="X13" s="54"/>
      <c r="Y13" s="77" t="s">
        <v>83</v>
      </c>
      <c r="Z13" s="224">
        <f>Z3*Z21*Z43*Z45</f>
        <v>7.4318317414211286E-11</v>
      </c>
      <c r="AA13" s="78" t="s">
        <v>110</v>
      </c>
      <c r="AB13" s="77" t="s">
        <v>83</v>
      </c>
      <c r="AC13" s="224">
        <f>AC3*AC21*AC43*AC45</f>
        <v>8.8438797722911437E-11</v>
      </c>
      <c r="AD13" s="78" t="s">
        <v>110</v>
      </c>
      <c r="AE13" s="33" t="s">
        <v>9</v>
      </c>
      <c r="AF13" s="53">
        <f>B16</f>
        <v>30</v>
      </c>
      <c r="AG13" s="54"/>
      <c r="AH13" s="176" t="s">
        <v>83</v>
      </c>
      <c r="AI13" s="227">
        <f>AI3*AI21*AI43*AI45</f>
        <v>1.6721621418197543E-10</v>
      </c>
      <c r="AJ13" s="177" t="s">
        <v>110</v>
      </c>
      <c r="AK13" s="176" t="s">
        <v>83</v>
      </c>
      <c r="AL13" s="227">
        <f>AL3*AL21*AL43*AL45</f>
        <v>1.9898729487655074E-10</v>
      </c>
      <c r="AM13" s="177" t="s">
        <v>110</v>
      </c>
    </row>
    <row r="14" spans="1:39" s="1" customFormat="1" ht="14.25" x14ac:dyDescent="0.2">
      <c r="A14" s="57" t="s">
        <v>116</v>
      </c>
      <c r="B14" s="151">
        <v>2.8393600000000001</v>
      </c>
      <c r="C14" s="38" t="s">
        <v>198</v>
      </c>
      <c r="D14" s="38" t="s">
        <v>209</v>
      </c>
      <c r="E14" s="53">
        <f>B8</f>
        <v>4.9109405245458101E-5</v>
      </c>
      <c r="F14" s="54" t="s">
        <v>11</v>
      </c>
      <c r="G14" s="85" t="s">
        <v>84</v>
      </c>
      <c r="H14" s="233">
        <f>H4*H21*H43*H44</f>
        <v>4.6380355750002524E-8</v>
      </c>
      <c r="I14" s="89" t="s">
        <v>107</v>
      </c>
      <c r="J14" s="85" t="s">
        <v>84</v>
      </c>
      <c r="K14" s="233">
        <f>K4*K21*K43*K44</f>
        <v>5.5192623342502992E-8</v>
      </c>
      <c r="L14" s="89" t="s">
        <v>107</v>
      </c>
      <c r="M14" s="38" t="s">
        <v>210</v>
      </c>
      <c r="N14" s="53">
        <f>B9</f>
        <v>5.0319999999999999E-5</v>
      </c>
      <c r="O14" s="28" t="s">
        <v>11</v>
      </c>
      <c r="P14" s="93" t="s">
        <v>84</v>
      </c>
      <c r="Q14" s="230">
        <f>Q4*Q21*Q43*Q44</f>
        <v>6.7464865473953648E-8</v>
      </c>
      <c r="R14" s="98" t="s">
        <v>107</v>
      </c>
      <c r="S14" s="93" t="s">
        <v>84</v>
      </c>
      <c r="T14" s="230">
        <f>T4*T21*T43*T44</f>
        <v>8.0283189914004854E-8</v>
      </c>
      <c r="U14" s="98" t="s">
        <v>107</v>
      </c>
      <c r="V14" s="38" t="s">
        <v>210</v>
      </c>
      <c r="W14" s="53">
        <f>B9</f>
        <v>5.0319999999999999E-5</v>
      </c>
      <c r="X14" s="54" t="s">
        <v>11</v>
      </c>
      <c r="Y14" s="77" t="s">
        <v>84</v>
      </c>
      <c r="Z14" s="224">
        <f>Z4*Z21*Z43*Z44</f>
        <v>7.4960961637726285E-8</v>
      </c>
      <c r="AA14" s="82" t="s">
        <v>107</v>
      </c>
      <c r="AB14" s="77" t="s">
        <v>84</v>
      </c>
      <c r="AC14" s="224">
        <f>AC4*AC21*AC43*AC44</f>
        <v>8.9203544348894283E-8</v>
      </c>
      <c r="AD14" s="82" t="s">
        <v>107</v>
      </c>
      <c r="AE14" s="38" t="s">
        <v>210</v>
      </c>
      <c r="AF14" s="53">
        <f>B9</f>
        <v>5.0319999999999999E-5</v>
      </c>
      <c r="AG14" s="54" t="s">
        <v>11</v>
      </c>
      <c r="AH14" s="176" t="s">
        <v>84</v>
      </c>
      <c r="AI14" s="227">
        <f>AI4*AI21*AI43*AI44</f>
        <v>1.6866216368488412E-7</v>
      </c>
      <c r="AJ14" s="181" t="s">
        <v>107</v>
      </c>
      <c r="AK14" s="176" t="s">
        <v>84</v>
      </c>
      <c r="AL14" s="227">
        <f>AL4*AL21*AL43*AL44</f>
        <v>2.0070797478501209E-7</v>
      </c>
      <c r="AM14" s="181" t="s">
        <v>107</v>
      </c>
    </row>
    <row r="15" spans="1:39" s="1" customFormat="1" ht="14.25" x14ac:dyDescent="0.2">
      <c r="A15" s="57" t="s">
        <v>117</v>
      </c>
      <c r="B15" s="151">
        <v>4763.3999999999996</v>
      </c>
      <c r="C15" s="38" t="s">
        <v>200</v>
      </c>
      <c r="D15" s="54" t="s">
        <v>22</v>
      </c>
      <c r="E15" s="53">
        <f>B7</f>
        <v>1.5417408700798101E-4</v>
      </c>
      <c r="F15" s="54" t="s">
        <v>201</v>
      </c>
      <c r="G15" s="85" t="s">
        <v>85</v>
      </c>
      <c r="H15" s="233">
        <f>H5*H21*H43*H44</f>
        <v>1.6206907456321538E-8</v>
      </c>
      <c r="I15" s="89" t="s">
        <v>107</v>
      </c>
      <c r="J15" s="85" t="s">
        <v>85</v>
      </c>
      <c r="K15" s="233">
        <f>K5*K21*K43*K44</f>
        <v>1.9286219873022633E-8</v>
      </c>
      <c r="L15" s="89" t="s">
        <v>107</v>
      </c>
      <c r="M15" s="54" t="s">
        <v>22</v>
      </c>
      <c r="N15" s="53">
        <f>B7</f>
        <v>1.5417408700798101E-4</v>
      </c>
      <c r="O15" s="28" t="s">
        <v>201</v>
      </c>
      <c r="P15" s="93" t="s">
        <v>85</v>
      </c>
      <c r="Q15" s="230">
        <f>Q5*Q21*Q43*Q44</f>
        <v>2.3574567585965305E-8</v>
      </c>
      <c r="R15" s="98" t="s">
        <v>107</v>
      </c>
      <c r="S15" s="93" t="s">
        <v>85</v>
      </c>
      <c r="T15" s="230">
        <f>T5*T21*T43*T44</f>
        <v>2.8053735427298713E-8</v>
      </c>
      <c r="U15" s="98" t="s">
        <v>107</v>
      </c>
      <c r="V15" s="54" t="s">
        <v>22</v>
      </c>
      <c r="W15" s="53">
        <f>B7</f>
        <v>1.5417408700798101E-4</v>
      </c>
      <c r="X15" s="54" t="s">
        <v>201</v>
      </c>
      <c r="Y15" s="77" t="s">
        <v>85</v>
      </c>
      <c r="Z15" s="224">
        <f>Z5*Z21*Z43*Z44</f>
        <v>2.61939639844059E-8</v>
      </c>
      <c r="AA15" s="82" t="s">
        <v>107</v>
      </c>
      <c r="AB15" s="77" t="s">
        <v>85</v>
      </c>
      <c r="AC15" s="224">
        <f>AC5*AC21*AC43*AC44</f>
        <v>3.1170817141443007E-8</v>
      </c>
      <c r="AD15" s="82" t="s">
        <v>107</v>
      </c>
      <c r="AE15" s="54" t="s">
        <v>22</v>
      </c>
      <c r="AF15" s="53">
        <f>B7</f>
        <v>1.5417408700798101E-4</v>
      </c>
      <c r="AG15" s="54" t="s">
        <v>201</v>
      </c>
      <c r="AH15" s="176" t="s">
        <v>85</v>
      </c>
      <c r="AI15" s="227">
        <f>AI5*AI21*AI43*AI44</f>
        <v>5.8936418964913259E-8</v>
      </c>
      <c r="AJ15" s="181" t="s">
        <v>107</v>
      </c>
      <c r="AK15" s="176" t="s">
        <v>85</v>
      </c>
      <c r="AL15" s="227">
        <f>AL5*AL21*AL43*AL44</f>
        <v>7.0134338568246789E-8</v>
      </c>
      <c r="AM15" s="181" t="s">
        <v>107</v>
      </c>
    </row>
    <row r="16" spans="1:39" s="1" customFormat="1" ht="15" thickBot="1" x14ac:dyDescent="0.25">
      <c r="A16" s="59" t="s">
        <v>9</v>
      </c>
      <c r="B16" s="151">
        <v>30</v>
      </c>
      <c r="C16" s="39" t="s">
        <v>118</v>
      </c>
      <c r="D16" s="54" t="s">
        <v>23</v>
      </c>
      <c r="E16" s="53">
        <f>B11</f>
        <v>0.64061199999999996</v>
      </c>
      <c r="F16" s="54" t="s">
        <v>198</v>
      </c>
      <c r="G16" s="87" t="s">
        <v>86</v>
      </c>
      <c r="H16" s="234">
        <f>H6*H21*H43*H44</f>
        <v>1.0374553259868984E-8</v>
      </c>
      <c r="I16" s="90" t="s">
        <v>107</v>
      </c>
      <c r="J16" s="87" t="s">
        <v>86</v>
      </c>
      <c r="K16" s="234">
        <f>K6*K21*K43*K44</f>
        <v>1.2345718379244094E-8</v>
      </c>
      <c r="L16" s="90" t="s">
        <v>107</v>
      </c>
      <c r="M16" s="54" t="s">
        <v>23</v>
      </c>
      <c r="N16" s="53">
        <f>B11</f>
        <v>0.64061199999999996</v>
      </c>
      <c r="O16" s="28" t="s">
        <v>201</v>
      </c>
      <c r="P16" s="95" t="s">
        <v>86</v>
      </c>
      <c r="Q16" s="231">
        <f>Q6*Q21*Q43*Q44</f>
        <v>1.5090825171805423E-8</v>
      </c>
      <c r="R16" s="99" t="s">
        <v>107</v>
      </c>
      <c r="S16" s="95" t="s">
        <v>86</v>
      </c>
      <c r="T16" s="231">
        <f>T6*T21*T43*T44</f>
        <v>1.7958081954448451E-8</v>
      </c>
      <c r="U16" s="99" t="s">
        <v>107</v>
      </c>
      <c r="V16" s="54" t="s">
        <v>23</v>
      </c>
      <c r="W16" s="53">
        <f>B11</f>
        <v>0.64061199999999996</v>
      </c>
      <c r="X16" s="54" t="s">
        <v>201</v>
      </c>
      <c r="Y16" s="79" t="s">
        <v>86</v>
      </c>
      <c r="Z16" s="225">
        <f>Z6*Z21*Z43*Z44</f>
        <v>1.6767583524228245E-8</v>
      </c>
      <c r="AA16" s="83" t="s">
        <v>107</v>
      </c>
      <c r="AB16" s="79" t="s">
        <v>86</v>
      </c>
      <c r="AC16" s="225">
        <f>AC6*AC21*AC43*AC44</f>
        <v>1.9953424393831618E-8</v>
      </c>
      <c r="AD16" s="83" t="s">
        <v>107</v>
      </c>
      <c r="AE16" s="54" t="s">
        <v>23</v>
      </c>
      <c r="AF16" s="53">
        <f>B11</f>
        <v>0.64061199999999996</v>
      </c>
      <c r="AG16" s="54" t="s">
        <v>201</v>
      </c>
      <c r="AH16" s="178" t="s">
        <v>86</v>
      </c>
      <c r="AI16" s="228">
        <f>AI6*AI21*AI43*AI44</f>
        <v>3.7727062929513552E-8</v>
      </c>
      <c r="AJ16" s="182" t="s">
        <v>107</v>
      </c>
      <c r="AK16" s="178" t="s">
        <v>86</v>
      </c>
      <c r="AL16" s="228">
        <f>AL6*AL21*AL43*AL44</f>
        <v>4.4895204886121134E-8</v>
      </c>
      <c r="AM16" s="182" t="s">
        <v>107</v>
      </c>
    </row>
    <row r="17" spans="1:39" s="1" customFormat="1" ht="14.25" x14ac:dyDescent="0.2">
      <c r="A17" s="38" t="s">
        <v>141</v>
      </c>
      <c r="B17" s="331">
        <v>1</v>
      </c>
      <c r="C17" s="40"/>
      <c r="D17" s="28" t="s">
        <v>92</v>
      </c>
      <c r="E17" s="47">
        <f>(E8*E9*E11)/(E12*E14*E22)</f>
        <v>0.52426237255006869</v>
      </c>
      <c r="F17" s="28" t="s">
        <v>94</v>
      </c>
      <c r="G17" t="s">
        <v>21</v>
      </c>
      <c r="H17" s="220">
        <f>B6</f>
        <v>1</v>
      </c>
      <c r="I17"/>
      <c r="J17" t="s">
        <v>21</v>
      </c>
      <c r="K17" s="220">
        <f>B6</f>
        <v>1</v>
      </c>
      <c r="L17"/>
      <c r="M17" s="28" t="s">
        <v>92</v>
      </c>
      <c r="N17" s="47">
        <f>(N8*N9*N11)/(N12*N14*N22*N28)</f>
        <v>0.41026997303159163</v>
      </c>
      <c r="O17" s="28" t="s">
        <v>94</v>
      </c>
      <c r="P17" t="s">
        <v>21</v>
      </c>
      <c r="Q17" s="220">
        <f>B6</f>
        <v>1</v>
      </c>
      <c r="R17"/>
      <c r="S17" t="s">
        <v>21</v>
      </c>
      <c r="T17" s="220">
        <f>B6</f>
        <v>1</v>
      </c>
      <c r="U17"/>
      <c r="V17" s="28" t="s">
        <v>92</v>
      </c>
      <c r="W17" s="47">
        <f>(W8*W9*W11)/(W12*W14*W22*W28)</f>
        <v>0.4558555255906574</v>
      </c>
      <c r="X17" s="28" t="s">
        <v>94</v>
      </c>
      <c r="Y17" t="s">
        <v>21</v>
      </c>
      <c r="Z17" s="220">
        <f>B6</f>
        <v>1</v>
      </c>
      <c r="AA17"/>
      <c r="AB17" t="s">
        <v>21</v>
      </c>
      <c r="AC17" s="220">
        <f>B6</f>
        <v>1</v>
      </c>
      <c r="AD17"/>
      <c r="AE17" s="28" t="s">
        <v>92</v>
      </c>
      <c r="AF17" s="47">
        <f>(AF8*AF9*AF11)/(AF12*AF14*AF22*AF28)</f>
        <v>0.27351331535439438</v>
      </c>
      <c r="AG17" s="28" t="s">
        <v>94</v>
      </c>
      <c r="AH17" t="s">
        <v>21</v>
      </c>
      <c r="AI17" s="220">
        <f>B6</f>
        <v>1</v>
      </c>
      <c r="AJ17"/>
      <c r="AK17" t="s">
        <v>21</v>
      </c>
      <c r="AL17" s="220">
        <f>B6</f>
        <v>1</v>
      </c>
      <c r="AM17"/>
    </row>
    <row r="18" spans="1:39" s="1" customFormat="1" ht="19.5" x14ac:dyDescent="0.35">
      <c r="A18" s="38" t="s">
        <v>142</v>
      </c>
      <c r="B18" s="331">
        <v>1</v>
      </c>
      <c r="C18" s="40"/>
      <c r="D18" s="28" t="s">
        <v>166</v>
      </c>
      <c r="E18" s="46">
        <f>(E8*E9*E11)/(E12*E15*E23*(1/E48)*E47*(E41+E42)*(1/24))</f>
        <v>1.9997558026629031E-2</v>
      </c>
      <c r="F18" s="28" t="s">
        <v>94</v>
      </c>
      <c r="G18" s="54" t="s">
        <v>206</v>
      </c>
      <c r="H18" s="221">
        <f>H28</f>
        <v>1</v>
      </c>
      <c r="I18" t="s">
        <v>205</v>
      </c>
      <c r="J18" s="54" t="s">
        <v>206</v>
      </c>
      <c r="K18" s="221">
        <f>K28</f>
        <v>1</v>
      </c>
      <c r="L18" t="s">
        <v>205</v>
      </c>
      <c r="M18" s="28" t="s">
        <v>166</v>
      </c>
      <c r="N18" s="46">
        <f>(N8*N9*N11)/(N12*N15*N29*N25*N28*(1/N38)*N37)</f>
        <v>1.8739651634079982E-2</v>
      </c>
      <c r="O18" s="28" t="s">
        <v>94</v>
      </c>
      <c r="P18" s="54" t="s">
        <v>207</v>
      </c>
      <c r="Q18" s="221">
        <f>Q28</f>
        <v>1</v>
      </c>
      <c r="R18" t="s">
        <v>205</v>
      </c>
      <c r="S18" s="54" t="s">
        <v>207</v>
      </c>
      <c r="T18" s="221">
        <f>T28</f>
        <v>1</v>
      </c>
      <c r="U18" t="s">
        <v>205</v>
      </c>
      <c r="V18" s="28" t="s">
        <v>166</v>
      </c>
      <c r="W18" s="46">
        <f>(W8*W9*W11)/(W12*W15*W29*W25*W28*(1/W38)*W37)</f>
        <v>2.0821835148977761E-2</v>
      </c>
      <c r="X18" s="28" t="s">
        <v>94</v>
      </c>
      <c r="Y18" s="54" t="s">
        <v>208</v>
      </c>
      <c r="Z18" s="221">
        <f>Z28</f>
        <v>1</v>
      </c>
      <c r="AA18" t="s">
        <v>205</v>
      </c>
      <c r="AB18" s="54" t="s">
        <v>208</v>
      </c>
      <c r="AC18" s="221">
        <f>AC28</f>
        <v>1</v>
      </c>
      <c r="AD18" t="s">
        <v>205</v>
      </c>
      <c r="AE18" s="28" t="s">
        <v>166</v>
      </c>
      <c r="AF18" s="46">
        <f>(AF8*AF9*AF11)/(AF12*AF15*AF29*AF25*AF28*(1/AF38)*AF37)</f>
        <v>1.8739651634079982E-2</v>
      </c>
      <c r="AG18" s="28" t="s">
        <v>94</v>
      </c>
      <c r="AH18" s="54" t="s">
        <v>140</v>
      </c>
      <c r="AI18" s="221">
        <f>AI28</f>
        <v>1</v>
      </c>
      <c r="AJ18" t="s">
        <v>205</v>
      </c>
      <c r="AK18" s="54" t="s">
        <v>140</v>
      </c>
      <c r="AL18" s="221">
        <f>AL28</f>
        <v>1</v>
      </c>
      <c r="AM18" t="s">
        <v>205</v>
      </c>
    </row>
    <row r="19" spans="1:39" s="1" customFormat="1" ht="14.25" x14ac:dyDescent="0.2">
      <c r="A19" s="38" t="s">
        <v>143</v>
      </c>
      <c r="B19" s="331">
        <v>1</v>
      </c>
      <c r="C19" s="40"/>
      <c r="D19" s="28" t="s">
        <v>165</v>
      </c>
      <c r="E19" s="46">
        <f>(E8*E9*E11)/(E12*E15*E23*(1/E49)*E47*(E41+E42)*(1/24))</f>
        <v>2.8684893897640649</v>
      </c>
      <c r="F19" s="28" t="s">
        <v>94</v>
      </c>
      <c r="G19" s="29" t="s">
        <v>1</v>
      </c>
      <c r="H19" s="51">
        <f>0.693/H21</f>
        <v>2.3099999999999999E-2</v>
      </c>
      <c r="I19" s="29"/>
      <c r="J19" s="29" t="s">
        <v>1</v>
      </c>
      <c r="K19" s="51">
        <f>0.693/K21</f>
        <v>2.3099999999999999E-2</v>
      </c>
      <c r="L19"/>
      <c r="M19" s="28" t="s">
        <v>165</v>
      </c>
      <c r="N19" s="46">
        <f>(N8*N9*N11)/(N12*N15*N29*N25*N28*(1/N39)*N37)</f>
        <v>2.6880528016797354</v>
      </c>
      <c r="O19" s="28" t="s">
        <v>94</v>
      </c>
      <c r="P19" s="29" t="s">
        <v>1</v>
      </c>
      <c r="Q19" s="51">
        <f>0.693/Q21</f>
        <v>2.3099999999999999E-2</v>
      </c>
      <c r="R19" s="29"/>
      <c r="S19" s="29" t="s">
        <v>1</v>
      </c>
      <c r="T19" s="51">
        <f>0.693/T21</f>
        <v>2.3099999999999999E-2</v>
      </c>
      <c r="U19"/>
      <c r="V19" s="28" t="s">
        <v>165</v>
      </c>
      <c r="W19" s="46">
        <f>(W8*W9*W11)/(W12*W15*W29*W25*W28*(1/W39)*W37)</f>
        <v>2.9867253351997065</v>
      </c>
      <c r="X19" s="28" t="s">
        <v>94</v>
      </c>
      <c r="Y19" s="29" t="s">
        <v>1</v>
      </c>
      <c r="Z19" s="51">
        <f>0.693/Z21</f>
        <v>2.3099999999999999E-2</v>
      </c>
      <c r="AA19"/>
      <c r="AB19" s="29" t="s">
        <v>1</v>
      </c>
      <c r="AC19" s="51">
        <f>0.693/AC21</f>
        <v>2.3099999999999999E-2</v>
      </c>
      <c r="AD19" s="29"/>
      <c r="AE19" s="28" t="s">
        <v>165</v>
      </c>
      <c r="AF19" s="46">
        <f>(AF8*AF9*AF11)/(AF12*AF15*AF29*AF25*AF28*(1/AF39)*AF37)</f>
        <v>2.6880528016797354</v>
      </c>
      <c r="AG19" s="28" t="s">
        <v>94</v>
      </c>
      <c r="AH19" s="29" t="s">
        <v>1</v>
      </c>
      <c r="AI19" s="51">
        <f>0.693/AI21</f>
        <v>2.3099999999999999E-2</v>
      </c>
      <c r="AJ19" s="29"/>
      <c r="AK19" s="29" t="s">
        <v>1</v>
      </c>
      <c r="AL19" s="51">
        <f>0.693/AL21</f>
        <v>2.3099999999999999E-2</v>
      </c>
      <c r="AM19"/>
    </row>
    <row r="20" spans="1:39" s="1" customFormat="1" ht="14.25" x14ac:dyDescent="0.2">
      <c r="A20" s="38" t="s">
        <v>144</v>
      </c>
      <c r="B20" s="331">
        <v>1</v>
      </c>
      <c r="C20"/>
      <c r="D20" s="28" t="s">
        <v>93</v>
      </c>
      <c r="E20" s="45">
        <f>(E8*E9*E11)/(E12*E16*E39*E40*E28*(1/365)*E46*((E41*E44)+(E42*E45))*(1/24))</f>
        <v>4.7549056405563315</v>
      </c>
      <c r="F20" s="28" t="s">
        <v>94</v>
      </c>
      <c r="G20" s="28" t="s">
        <v>126</v>
      </c>
      <c r="H20" s="51">
        <f>(1-EXP(-H19*H18))</f>
        <v>2.2835237588950674E-2</v>
      </c>
      <c r="I20"/>
      <c r="J20" s="28" t="s">
        <v>126</v>
      </c>
      <c r="K20" s="51">
        <f>(1-EXP(-K19*K18))</f>
        <v>2.2835237588950674E-2</v>
      </c>
      <c r="L20"/>
      <c r="M20" s="28" t="s">
        <v>93</v>
      </c>
      <c r="N20" s="45">
        <f>(N8*N9*N11)/(N12*N16*N31*N32*N36*N28*(1/365)*N34*N25*(1/24))</f>
        <v>6.9164857447532411</v>
      </c>
      <c r="O20" s="28" t="s">
        <v>94</v>
      </c>
      <c r="P20" s="28" t="s">
        <v>126</v>
      </c>
      <c r="Q20" s="51">
        <f>(1-EXP(-Q19*Q18))</f>
        <v>2.2835237588950674E-2</v>
      </c>
      <c r="R20"/>
      <c r="S20" s="28" t="s">
        <v>126</v>
      </c>
      <c r="T20" s="51">
        <f>(1-EXP(-T19*T18))</f>
        <v>2.2835237588950674E-2</v>
      </c>
      <c r="U20"/>
      <c r="V20" s="28" t="s">
        <v>93</v>
      </c>
      <c r="W20" s="45">
        <f>(W8*W9*W11)/(W12*W16*W31*W32*W36*W28*(1/365)*W34*W25*(1/24))</f>
        <v>7.684984160836934</v>
      </c>
      <c r="X20" s="28" t="s">
        <v>94</v>
      </c>
      <c r="Y20" s="28" t="s">
        <v>126</v>
      </c>
      <c r="Z20" s="51">
        <f>(1-EXP(-Z19*Z18))</f>
        <v>2.2835237588950674E-2</v>
      </c>
      <c r="AA20"/>
      <c r="AB20" s="28" t="s">
        <v>126</v>
      </c>
      <c r="AC20" s="51">
        <f>(1-EXP(-AC19*AC18))</f>
        <v>2.2835237588950674E-2</v>
      </c>
      <c r="AD20"/>
      <c r="AE20" s="28" t="s">
        <v>93</v>
      </c>
      <c r="AF20" s="45">
        <f>(AF8*AF9*AF11)/(AF12*AF16*AF35*AF31*AF32*AF36*AF25*(1/24)*AF28*(1/365))</f>
        <v>17.2912143618831</v>
      </c>
      <c r="AG20" s="28" t="s">
        <v>94</v>
      </c>
      <c r="AH20" s="28" t="s">
        <v>126</v>
      </c>
      <c r="AI20" s="51">
        <f>(1-EXP(-AI19*AI18))</f>
        <v>2.2835237588950674E-2</v>
      </c>
      <c r="AJ20"/>
      <c r="AK20" s="28" t="s">
        <v>126</v>
      </c>
      <c r="AL20" s="51">
        <f>(1-EXP(-AL19*AL18))</f>
        <v>2.2835237588950674E-2</v>
      </c>
      <c r="AM20"/>
    </row>
    <row r="21" spans="1:39" s="1" customFormat="1" ht="14.25" x14ac:dyDescent="0.2">
      <c r="A21" s="38" t="s">
        <v>145</v>
      </c>
      <c r="B21" s="331">
        <v>1</v>
      </c>
      <c r="C21"/>
      <c r="D21" s="28"/>
      <c r="E21" s="32"/>
      <c r="F21" s="28"/>
      <c r="G21" s="56" t="s">
        <v>9</v>
      </c>
      <c r="H21" s="53">
        <f>B16</f>
        <v>30</v>
      </c>
      <c r="I21" s="2" t="s">
        <v>10</v>
      </c>
      <c r="J21" s="56" t="s">
        <v>9</v>
      </c>
      <c r="K21" s="43">
        <f>B16</f>
        <v>30</v>
      </c>
      <c r="L21" s="1" t="s">
        <v>10</v>
      </c>
      <c r="M21" s="28"/>
      <c r="N21" s="32"/>
      <c r="O21" s="28"/>
      <c r="P21" s="56" t="s">
        <v>9</v>
      </c>
      <c r="Q21" s="53">
        <f>B16</f>
        <v>30</v>
      </c>
      <c r="R21" s="2" t="s">
        <v>10</v>
      </c>
      <c r="S21" s="56" t="s">
        <v>9</v>
      </c>
      <c r="T21" s="43">
        <f>B16</f>
        <v>30</v>
      </c>
      <c r="U21" s="1" t="s">
        <v>10</v>
      </c>
      <c r="V21" s="28"/>
      <c r="W21" s="28"/>
      <c r="X21" s="28"/>
      <c r="Y21" s="56" t="s">
        <v>9</v>
      </c>
      <c r="Z21" s="43">
        <f>B16</f>
        <v>30</v>
      </c>
      <c r="AA21" s="1" t="s">
        <v>10</v>
      </c>
      <c r="AB21" s="56" t="s">
        <v>9</v>
      </c>
      <c r="AC21" s="53">
        <f>B16</f>
        <v>30</v>
      </c>
      <c r="AD21" s="2" t="s">
        <v>10</v>
      </c>
      <c r="AE21" s="28"/>
      <c r="AF21" s="32"/>
      <c r="AG21" s="28"/>
      <c r="AH21" s="56" t="s">
        <v>9</v>
      </c>
      <c r="AI21" s="53">
        <f>B16</f>
        <v>30</v>
      </c>
      <c r="AJ21" s="2" t="s">
        <v>10</v>
      </c>
      <c r="AK21" s="56" t="s">
        <v>9</v>
      </c>
      <c r="AL21" s="43">
        <f>B16</f>
        <v>30</v>
      </c>
      <c r="AM21" s="1" t="s">
        <v>10</v>
      </c>
    </row>
    <row r="22" spans="1:39" s="1" customFormat="1" ht="14.25" x14ac:dyDescent="0.2">
      <c r="A22" s="58" t="s">
        <v>102</v>
      </c>
      <c r="B22" s="259">
        <v>137</v>
      </c>
      <c r="C22" s="40" t="s">
        <v>103</v>
      </c>
      <c r="D22" s="60" t="s">
        <v>220</v>
      </c>
      <c r="E22" s="61">
        <f>(E24*E27*E29*E25*E31*E33*E35)+(E24*E26*E28*E25*E32*E30*E34)</f>
        <v>39291</v>
      </c>
      <c r="F22" s="62" t="s">
        <v>24</v>
      </c>
      <c r="G22" s="38" t="s">
        <v>113</v>
      </c>
      <c r="H22" s="220">
        <f>B10</f>
        <v>3.19428</v>
      </c>
      <c r="I22" s="38" t="s">
        <v>198</v>
      </c>
      <c r="J22" s="38" t="s">
        <v>113</v>
      </c>
      <c r="K22" s="220">
        <f>B10</f>
        <v>3.19428</v>
      </c>
      <c r="L22" s="38" t="s">
        <v>198</v>
      </c>
      <c r="M22" s="60" t="s">
        <v>217</v>
      </c>
      <c r="N22" s="71">
        <f>N23*N25*N24*N26*N27</f>
        <v>196</v>
      </c>
      <c r="O22" s="62" t="s">
        <v>24</v>
      </c>
      <c r="P22" s="38" t="s">
        <v>113</v>
      </c>
      <c r="Q22" s="220">
        <f>B10</f>
        <v>3.19428</v>
      </c>
      <c r="R22" s="38" t="s">
        <v>198</v>
      </c>
      <c r="S22" s="38" t="s">
        <v>113</v>
      </c>
      <c r="T22" s="220">
        <f>B10</f>
        <v>3.19428</v>
      </c>
      <c r="U22" s="38" t="s">
        <v>198</v>
      </c>
      <c r="V22" s="60" t="s">
        <v>218</v>
      </c>
      <c r="W22" s="71">
        <f>W23*W25*W24*W26*W27</f>
        <v>196</v>
      </c>
      <c r="X22" s="62" t="s">
        <v>24</v>
      </c>
      <c r="Y22" s="38" t="s">
        <v>113</v>
      </c>
      <c r="Z22" s="220">
        <f>B10</f>
        <v>3.19428</v>
      </c>
      <c r="AA22" s="38" t="s">
        <v>198</v>
      </c>
      <c r="AB22" s="38" t="s">
        <v>113</v>
      </c>
      <c r="AC22" s="220">
        <f>B10</f>
        <v>3.19428</v>
      </c>
      <c r="AD22" s="38" t="s">
        <v>198</v>
      </c>
      <c r="AE22" s="60" t="s">
        <v>219</v>
      </c>
      <c r="AF22" s="71">
        <f>AF23*AF25*AF24*AF26*AF27</f>
        <v>294</v>
      </c>
      <c r="AG22" s="62" t="s">
        <v>24</v>
      </c>
      <c r="AH22" s="38" t="s">
        <v>113</v>
      </c>
      <c r="AI22" s="220">
        <f>B10</f>
        <v>3.19428</v>
      </c>
      <c r="AJ22" s="38" t="s">
        <v>198</v>
      </c>
      <c r="AK22" s="38" t="s">
        <v>113</v>
      </c>
      <c r="AL22" s="220">
        <f>B10</f>
        <v>3.19428</v>
      </c>
      <c r="AM22" s="38" t="s">
        <v>198</v>
      </c>
    </row>
    <row r="23" spans="1:39" s="1" customFormat="1" ht="14.25" x14ac:dyDescent="0.2">
      <c r="A23" t="s">
        <v>90</v>
      </c>
      <c r="B23" s="188">
        <v>1.19</v>
      </c>
      <c r="C23"/>
      <c r="D23" s="63" t="s">
        <v>221</v>
      </c>
      <c r="E23" s="64">
        <f>(E37*E29*E31)+(E36*E28*E30)</f>
        <v>6195</v>
      </c>
      <c r="F23" s="65" t="s">
        <v>25</v>
      </c>
      <c r="G23" s="38" t="s">
        <v>23</v>
      </c>
      <c r="H23" s="220">
        <f>B11</f>
        <v>0.64061199999999996</v>
      </c>
      <c r="I23" s="38" t="s">
        <v>199</v>
      </c>
      <c r="J23" s="38" t="s">
        <v>23</v>
      </c>
      <c r="K23" s="220">
        <f>B11</f>
        <v>0.64061199999999996</v>
      </c>
      <c r="L23" s="38" t="s">
        <v>199</v>
      </c>
      <c r="M23" s="63" t="s">
        <v>162</v>
      </c>
      <c r="N23" s="66">
        <f>B27</f>
        <v>0.5</v>
      </c>
      <c r="O23" s="65"/>
      <c r="P23" s="38" t="s">
        <v>23</v>
      </c>
      <c r="Q23" s="220">
        <f>B11</f>
        <v>0.64061199999999996</v>
      </c>
      <c r="R23" s="38" t="s">
        <v>199</v>
      </c>
      <c r="S23" s="38" t="s">
        <v>23</v>
      </c>
      <c r="T23" s="220">
        <f>B11</f>
        <v>0.64061199999999996</v>
      </c>
      <c r="U23" s="38" t="s">
        <v>199</v>
      </c>
      <c r="V23" s="63" t="s">
        <v>162</v>
      </c>
      <c r="W23" s="66">
        <f>B27</f>
        <v>0.5</v>
      </c>
      <c r="X23" s="65"/>
      <c r="Y23" s="38" t="s">
        <v>23</v>
      </c>
      <c r="Z23" s="220">
        <f>B11</f>
        <v>0.64061199999999996</v>
      </c>
      <c r="AA23" s="38" t="s">
        <v>199</v>
      </c>
      <c r="AB23" s="38" t="s">
        <v>23</v>
      </c>
      <c r="AC23" s="220">
        <f>B11</f>
        <v>0.64061199999999996</v>
      </c>
      <c r="AD23" s="38" t="s">
        <v>199</v>
      </c>
      <c r="AE23" s="63" t="s">
        <v>162</v>
      </c>
      <c r="AF23" s="66">
        <f>B27</f>
        <v>0.5</v>
      </c>
      <c r="AG23" s="65"/>
      <c r="AH23" s="38" t="s">
        <v>23</v>
      </c>
      <c r="AI23" s="220">
        <f>B11</f>
        <v>0.64061199999999996</v>
      </c>
      <c r="AJ23" s="38" t="s">
        <v>199</v>
      </c>
      <c r="AK23" s="38" t="s">
        <v>23</v>
      </c>
      <c r="AL23" s="220">
        <f>B11</f>
        <v>0.64061199999999996</v>
      </c>
      <c r="AM23" s="38" t="s">
        <v>199</v>
      </c>
    </row>
    <row r="24" spans="1:39" s="1" customFormat="1" ht="14.25" x14ac:dyDescent="0.2">
      <c r="A24" s="28" t="s">
        <v>139</v>
      </c>
      <c r="B24" s="55">
        <v>1</v>
      </c>
      <c r="C24"/>
      <c r="D24" s="63" t="s">
        <v>162</v>
      </c>
      <c r="E24" s="66">
        <f>B27</f>
        <v>0.5</v>
      </c>
      <c r="F24" s="65"/>
      <c r="G24" s="38" t="s">
        <v>114</v>
      </c>
      <c r="H24" s="220">
        <f>B12</f>
        <v>0.63512000000000002</v>
      </c>
      <c r="I24" s="38" t="s">
        <v>198</v>
      </c>
      <c r="J24" s="38" t="s">
        <v>114</v>
      </c>
      <c r="K24" s="220">
        <f>B12</f>
        <v>0.63512000000000002</v>
      </c>
      <c r="L24" s="38" t="s">
        <v>198</v>
      </c>
      <c r="M24" s="63" t="s">
        <v>119</v>
      </c>
      <c r="N24" s="66">
        <f>B28</f>
        <v>0.5</v>
      </c>
      <c r="O24" s="65"/>
      <c r="P24" s="38" t="s">
        <v>114</v>
      </c>
      <c r="Q24" s="220">
        <f>B12</f>
        <v>0.63512000000000002</v>
      </c>
      <c r="R24" s="38" t="s">
        <v>198</v>
      </c>
      <c r="S24" s="38" t="s">
        <v>114</v>
      </c>
      <c r="T24" s="220">
        <f>B12</f>
        <v>0.63512000000000002</v>
      </c>
      <c r="U24" s="38" t="s">
        <v>198</v>
      </c>
      <c r="V24" s="63" t="s">
        <v>119</v>
      </c>
      <c r="W24" s="66">
        <f>B28</f>
        <v>0.5</v>
      </c>
      <c r="X24" s="65"/>
      <c r="Y24" s="38" t="s">
        <v>114</v>
      </c>
      <c r="Z24" s="220">
        <f>B12</f>
        <v>0.63512000000000002</v>
      </c>
      <c r="AA24" s="38" t="s">
        <v>198</v>
      </c>
      <c r="AB24" s="38" t="s">
        <v>114</v>
      </c>
      <c r="AC24" s="220">
        <f>B12</f>
        <v>0.63512000000000002</v>
      </c>
      <c r="AD24" s="38" t="s">
        <v>198</v>
      </c>
      <c r="AE24" s="63" t="s">
        <v>119</v>
      </c>
      <c r="AF24" s="66">
        <f>B28</f>
        <v>0.5</v>
      </c>
      <c r="AG24" s="65"/>
      <c r="AH24" s="38" t="s">
        <v>114</v>
      </c>
      <c r="AI24" s="220">
        <f>B12</f>
        <v>0.63512000000000002</v>
      </c>
      <c r="AJ24" s="38" t="s">
        <v>198</v>
      </c>
      <c r="AK24" s="38" t="s">
        <v>114</v>
      </c>
      <c r="AL24" s="220">
        <f>B12</f>
        <v>0.63512000000000002</v>
      </c>
      <c r="AM24" s="38" t="s">
        <v>198</v>
      </c>
    </row>
    <row r="25" spans="1:39" s="1" customFormat="1" ht="14.25" x14ac:dyDescent="0.2">
      <c r="A25" s="28" t="s">
        <v>3</v>
      </c>
      <c r="B25" s="55">
        <v>1</v>
      </c>
      <c r="C25" s="37"/>
      <c r="D25" s="63" t="s">
        <v>119</v>
      </c>
      <c r="E25" s="66">
        <f>B28</f>
        <v>0.5</v>
      </c>
      <c r="F25" s="65"/>
      <c r="G25" s="38" t="s">
        <v>115</v>
      </c>
      <c r="H25" s="220">
        <f>B13</f>
        <v>1.817564</v>
      </c>
      <c r="I25" s="38" t="s">
        <v>198</v>
      </c>
      <c r="J25" s="38" t="s">
        <v>115</v>
      </c>
      <c r="K25" s="220">
        <f>B13</f>
        <v>1.817564</v>
      </c>
      <c r="L25" s="38" t="s">
        <v>198</v>
      </c>
      <c r="M25" s="63" t="s">
        <v>122</v>
      </c>
      <c r="N25" s="66">
        <f>B58</f>
        <v>8</v>
      </c>
      <c r="O25" s="65" t="s">
        <v>203</v>
      </c>
      <c r="P25" s="38" t="s">
        <v>115</v>
      </c>
      <c r="Q25" s="220">
        <f>B13</f>
        <v>1.817564</v>
      </c>
      <c r="R25" s="38" t="s">
        <v>198</v>
      </c>
      <c r="S25" s="38" t="s">
        <v>115</v>
      </c>
      <c r="T25" s="220">
        <f>B13</f>
        <v>1.817564</v>
      </c>
      <c r="U25" s="38" t="s">
        <v>198</v>
      </c>
      <c r="V25" s="63" t="s">
        <v>132</v>
      </c>
      <c r="W25" s="66">
        <f>B67</f>
        <v>8</v>
      </c>
      <c r="X25" s="65" t="s">
        <v>203</v>
      </c>
      <c r="Y25" s="38" t="s">
        <v>115</v>
      </c>
      <c r="Z25" s="220">
        <f>B13</f>
        <v>1.817564</v>
      </c>
      <c r="AA25" s="38" t="s">
        <v>198</v>
      </c>
      <c r="AB25" s="38" t="s">
        <v>115</v>
      </c>
      <c r="AC25" s="220">
        <f>B13</f>
        <v>1.817564</v>
      </c>
      <c r="AD25" s="38" t="s">
        <v>198</v>
      </c>
      <c r="AE25" s="63" t="s">
        <v>14</v>
      </c>
      <c r="AF25" s="66">
        <f>B76</f>
        <v>8</v>
      </c>
      <c r="AG25" s="65" t="s">
        <v>203</v>
      </c>
      <c r="AH25" s="38" t="s">
        <v>115</v>
      </c>
      <c r="AI25" s="220">
        <f>B13</f>
        <v>1.817564</v>
      </c>
      <c r="AJ25" s="38" t="s">
        <v>198</v>
      </c>
      <c r="AK25" s="38" t="s">
        <v>115</v>
      </c>
      <c r="AL25" s="220">
        <f>B13</f>
        <v>1.817564</v>
      </c>
      <c r="AM25" s="38" t="s">
        <v>198</v>
      </c>
    </row>
    <row r="26" spans="1:39" s="1" customFormat="1" ht="14.25" x14ac:dyDescent="0.2">
      <c r="A26" s="28" t="s">
        <v>27</v>
      </c>
      <c r="B26" s="55">
        <v>1</v>
      </c>
      <c r="C26" s="37"/>
      <c r="D26" s="67" t="s">
        <v>159</v>
      </c>
      <c r="E26" s="66">
        <f>B40</f>
        <v>4</v>
      </c>
      <c r="F26" s="65" t="s">
        <v>203</v>
      </c>
      <c r="G26" s="38" t="s">
        <v>116</v>
      </c>
      <c r="H26" s="220">
        <f>B14</f>
        <v>2.8393600000000001</v>
      </c>
      <c r="I26" s="38" t="s">
        <v>198</v>
      </c>
      <c r="J26" s="38" t="s">
        <v>116</v>
      </c>
      <c r="K26" s="220">
        <f>B14</f>
        <v>2.8393600000000001</v>
      </c>
      <c r="L26" s="38" t="s">
        <v>198</v>
      </c>
      <c r="M26" s="63" t="s">
        <v>136</v>
      </c>
      <c r="N26" s="66">
        <f>B62</f>
        <v>49</v>
      </c>
      <c r="O26" s="65" t="s">
        <v>24</v>
      </c>
      <c r="P26" s="38" t="s">
        <v>116</v>
      </c>
      <c r="Q26" s="220">
        <f>B14</f>
        <v>2.8393600000000001</v>
      </c>
      <c r="R26" s="38" t="s">
        <v>198</v>
      </c>
      <c r="S26" s="38" t="s">
        <v>116</v>
      </c>
      <c r="T26" s="220">
        <f>B14</f>
        <v>2.8393600000000001</v>
      </c>
      <c r="U26" s="38" t="s">
        <v>198</v>
      </c>
      <c r="V26" s="63" t="s">
        <v>130</v>
      </c>
      <c r="W26" s="66">
        <f>B71</f>
        <v>49</v>
      </c>
      <c r="X26" s="65" t="s">
        <v>24</v>
      </c>
      <c r="Y26" s="38" t="s">
        <v>116</v>
      </c>
      <c r="Z26" s="220">
        <f>B14</f>
        <v>2.8393600000000001</v>
      </c>
      <c r="AA26" s="38" t="s">
        <v>198</v>
      </c>
      <c r="AB26" s="38" t="s">
        <v>116</v>
      </c>
      <c r="AC26" s="220">
        <f>B14</f>
        <v>2.8393600000000001</v>
      </c>
      <c r="AD26" s="38" t="s">
        <v>198</v>
      </c>
      <c r="AE26" s="63" t="s">
        <v>17</v>
      </c>
      <c r="AF26" s="66">
        <f>B80</f>
        <v>49</v>
      </c>
      <c r="AG26" s="65" t="s">
        <v>24</v>
      </c>
      <c r="AH26" s="38" t="s">
        <v>116</v>
      </c>
      <c r="AI26" s="220">
        <f>B14</f>
        <v>2.8393600000000001</v>
      </c>
      <c r="AJ26" s="38" t="s">
        <v>198</v>
      </c>
      <c r="AK26" s="38" t="s">
        <v>116</v>
      </c>
      <c r="AL26" s="220">
        <f>B14</f>
        <v>2.8393600000000001</v>
      </c>
      <c r="AM26" s="38" t="s">
        <v>198</v>
      </c>
    </row>
    <row r="27" spans="1:39" s="1" customFormat="1" ht="14.25" x14ac:dyDescent="0.2">
      <c r="A27" s="28" t="s">
        <v>162</v>
      </c>
      <c r="B27" s="55">
        <v>0.5</v>
      </c>
      <c r="C27" s="37"/>
      <c r="D27" s="67" t="s">
        <v>158</v>
      </c>
      <c r="E27" s="66">
        <f>B39</f>
        <v>4</v>
      </c>
      <c r="F27" s="65" t="s">
        <v>203</v>
      </c>
      <c r="G27" s="40" t="s">
        <v>155</v>
      </c>
      <c r="H27" s="222">
        <f>B35</f>
        <v>350</v>
      </c>
      <c r="I27" s="29" t="s">
        <v>202</v>
      </c>
      <c r="J27" s="40" t="s">
        <v>155</v>
      </c>
      <c r="K27" s="221">
        <f>B35</f>
        <v>350</v>
      </c>
      <c r="L27" t="s">
        <v>202</v>
      </c>
      <c r="M27" s="68" t="s">
        <v>137</v>
      </c>
      <c r="N27" s="69">
        <f>B64</f>
        <v>2</v>
      </c>
      <c r="O27" s="70" t="s">
        <v>204</v>
      </c>
      <c r="P27" s="29" t="s">
        <v>87</v>
      </c>
      <c r="Q27" s="222">
        <f>B57</f>
        <v>250</v>
      </c>
      <c r="R27" s="29" t="s">
        <v>202</v>
      </c>
      <c r="S27" s="29" t="s">
        <v>87</v>
      </c>
      <c r="T27" s="221">
        <f>B57</f>
        <v>250</v>
      </c>
      <c r="U27" t="s">
        <v>202</v>
      </c>
      <c r="V27" s="68" t="s">
        <v>131</v>
      </c>
      <c r="W27" s="69">
        <f>B73</f>
        <v>2</v>
      </c>
      <c r="X27" s="70" t="s">
        <v>204</v>
      </c>
      <c r="Y27" s="29" t="s">
        <v>87</v>
      </c>
      <c r="Z27" s="32">
        <f>B66</f>
        <v>225</v>
      </c>
      <c r="AA27" t="s">
        <v>202</v>
      </c>
      <c r="AB27" s="29" t="s">
        <v>87</v>
      </c>
      <c r="AC27" s="222">
        <f>B66</f>
        <v>225</v>
      </c>
      <c r="AD27" s="29" t="s">
        <v>202</v>
      </c>
      <c r="AE27" s="68" t="s">
        <v>18</v>
      </c>
      <c r="AF27" s="69">
        <f>B82</f>
        <v>3</v>
      </c>
      <c r="AG27" s="70" t="s">
        <v>204</v>
      </c>
      <c r="AH27" s="29" t="s">
        <v>87</v>
      </c>
      <c r="AI27" s="222">
        <f>B75</f>
        <v>250</v>
      </c>
      <c r="AJ27" s="29" t="s">
        <v>202</v>
      </c>
      <c r="AK27" s="29" t="s">
        <v>87</v>
      </c>
      <c r="AL27" s="221">
        <f>B75</f>
        <v>250</v>
      </c>
      <c r="AM27" t="s">
        <v>202</v>
      </c>
    </row>
    <row r="28" spans="1:39" s="1" customFormat="1" ht="14.25" x14ac:dyDescent="0.2">
      <c r="A28" s="28" t="s">
        <v>119</v>
      </c>
      <c r="B28" s="55">
        <v>0.5</v>
      </c>
      <c r="C28" s="40"/>
      <c r="D28" s="67" t="s">
        <v>157</v>
      </c>
      <c r="E28" s="66">
        <f>B37</f>
        <v>350</v>
      </c>
      <c r="F28" s="65" t="s">
        <v>202</v>
      </c>
      <c r="G28" s="40" t="s">
        <v>125</v>
      </c>
      <c r="H28" s="221">
        <f>B43</f>
        <v>1</v>
      </c>
      <c r="I28" t="s">
        <v>205</v>
      </c>
      <c r="J28" s="40" t="s">
        <v>125</v>
      </c>
      <c r="K28" s="221">
        <f>B43</f>
        <v>1</v>
      </c>
      <c r="L28" t="s">
        <v>205</v>
      </c>
      <c r="M28" s="73" t="s">
        <v>133</v>
      </c>
      <c r="N28" s="66">
        <f>B57</f>
        <v>250</v>
      </c>
      <c r="O28" s="74" t="s">
        <v>202</v>
      </c>
      <c r="P28" t="s">
        <v>28</v>
      </c>
      <c r="Q28" s="221">
        <f>B61</f>
        <v>1</v>
      </c>
      <c r="R28" t="s">
        <v>205</v>
      </c>
      <c r="S28" s="29" t="s">
        <v>28</v>
      </c>
      <c r="T28" s="221">
        <f>B61</f>
        <v>1</v>
      </c>
      <c r="U28" t="s">
        <v>205</v>
      </c>
      <c r="V28" s="74" t="s">
        <v>128</v>
      </c>
      <c r="W28" s="66">
        <f>B66</f>
        <v>225</v>
      </c>
      <c r="X28" s="74" t="s">
        <v>202</v>
      </c>
      <c r="Y28" t="s">
        <v>28</v>
      </c>
      <c r="Z28" s="221">
        <f>B70</f>
        <v>1</v>
      </c>
      <c r="AA28" t="s">
        <v>205</v>
      </c>
      <c r="AB28" t="s">
        <v>28</v>
      </c>
      <c r="AC28" s="221">
        <f>B70</f>
        <v>1</v>
      </c>
      <c r="AD28" t="s">
        <v>205</v>
      </c>
      <c r="AE28" s="74" t="s">
        <v>13</v>
      </c>
      <c r="AF28" s="66">
        <f>B75</f>
        <v>250</v>
      </c>
      <c r="AG28" s="74" t="s">
        <v>202</v>
      </c>
      <c r="AH28" t="s">
        <v>28</v>
      </c>
      <c r="AI28" s="221">
        <f>B79</f>
        <v>1</v>
      </c>
      <c r="AJ28" t="s">
        <v>205</v>
      </c>
      <c r="AK28" t="s">
        <v>28</v>
      </c>
      <c r="AL28" s="221">
        <f>B79</f>
        <v>1</v>
      </c>
      <c r="AM28" t="s">
        <v>205</v>
      </c>
    </row>
    <row r="29" spans="1:39" s="1" customFormat="1" ht="14.25" x14ac:dyDescent="0.2">
      <c r="A29" s="28" t="s">
        <v>29</v>
      </c>
      <c r="B29" s="55">
        <v>0.4</v>
      </c>
      <c r="C29" s="28"/>
      <c r="D29" s="67" t="s">
        <v>156</v>
      </c>
      <c r="E29" s="66">
        <f>B36</f>
        <v>350</v>
      </c>
      <c r="F29" s="65" t="s">
        <v>202</v>
      </c>
      <c r="G29" t="s">
        <v>88</v>
      </c>
      <c r="H29" s="221">
        <f>B31</f>
        <v>0.4</v>
      </c>
      <c r="I29"/>
      <c r="J29" t="s">
        <v>88</v>
      </c>
      <c r="K29" s="221">
        <f>B31</f>
        <v>0.4</v>
      </c>
      <c r="L29"/>
      <c r="M29" s="74" t="s">
        <v>134</v>
      </c>
      <c r="N29" s="66">
        <f>B63</f>
        <v>2.5</v>
      </c>
      <c r="O29" s="74" t="s">
        <v>26</v>
      </c>
      <c r="P29"/>
      <c r="Q29" s="221"/>
      <c r="R29"/>
      <c r="S29"/>
      <c r="T29" s="221"/>
      <c r="U29"/>
      <c r="V29" s="74" t="s">
        <v>127</v>
      </c>
      <c r="W29" s="66">
        <v>2.5</v>
      </c>
      <c r="X29" s="74" t="s">
        <v>26</v>
      </c>
      <c r="Y29"/>
      <c r="Z29" s="221"/>
      <c r="AA29"/>
      <c r="AB29"/>
      <c r="AC29" s="221"/>
      <c r="AD29"/>
      <c r="AE29" s="74" t="s">
        <v>12</v>
      </c>
      <c r="AF29" s="66">
        <f>B81</f>
        <v>2.5</v>
      </c>
      <c r="AG29" s="74" t="s">
        <v>26</v>
      </c>
      <c r="AH29"/>
      <c r="AI29" s="221"/>
      <c r="AJ29"/>
      <c r="AK29"/>
      <c r="AL29" s="221"/>
      <c r="AM29"/>
    </row>
    <row r="30" spans="1:39" s="1" customFormat="1" ht="14.25" x14ac:dyDescent="0.2">
      <c r="A30" s="54" t="s">
        <v>99</v>
      </c>
      <c r="B30" s="55">
        <v>1</v>
      </c>
      <c r="C30" s="28"/>
      <c r="D30" s="63" t="s">
        <v>163</v>
      </c>
      <c r="E30" s="66">
        <f>B54</f>
        <v>0.77</v>
      </c>
      <c r="F30" s="65"/>
      <c r="G30" t="s">
        <v>99</v>
      </c>
      <c r="H30" s="221">
        <f>B30</f>
        <v>1</v>
      </c>
      <c r="I30"/>
      <c r="J30" t="s">
        <v>99</v>
      </c>
      <c r="K30" s="221">
        <f>B30</f>
        <v>1</v>
      </c>
      <c r="L30"/>
      <c r="M30" s="28" t="s">
        <v>135</v>
      </c>
      <c r="N30" s="32">
        <f>B61</f>
        <v>1</v>
      </c>
      <c r="O30" s="28" t="s">
        <v>205</v>
      </c>
      <c r="P30" t="s">
        <v>99</v>
      </c>
      <c r="Q30" s="221">
        <f>B30</f>
        <v>1</v>
      </c>
      <c r="R30"/>
      <c r="S30" t="s">
        <v>99</v>
      </c>
      <c r="T30" s="221">
        <f>B30</f>
        <v>1</v>
      </c>
      <c r="U30"/>
      <c r="V30" s="28" t="s">
        <v>129</v>
      </c>
      <c r="W30" s="32">
        <f>B70</f>
        <v>1</v>
      </c>
      <c r="X30" s="28" t="s">
        <v>205</v>
      </c>
      <c r="Y30" t="s">
        <v>99</v>
      </c>
      <c r="Z30" s="221">
        <f>B30</f>
        <v>1</v>
      </c>
      <c r="AA30"/>
      <c r="AB30" t="s">
        <v>99</v>
      </c>
      <c r="AC30" s="221">
        <f>B30</f>
        <v>1</v>
      </c>
      <c r="AD30"/>
      <c r="AE30" s="28" t="s">
        <v>15</v>
      </c>
      <c r="AF30" s="32">
        <f>B79</f>
        <v>1</v>
      </c>
      <c r="AG30" s="28" t="s">
        <v>205</v>
      </c>
      <c r="AH30" s="28" t="s">
        <v>16</v>
      </c>
      <c r="AI30" s="221">
        <f>B31</f>
        <v>0.4</v>
      </c>
      <c r="AJ30"/>
      <c r="AK30" s="28" t="s">
        <v>16</v>
      </c>
      <c r="AL30" s="221">
        <f>B31</f>
        <v>0.4</v>
      </c>
      <c r="AM30"/>
    </row>
    <row r="31" spans="1:39" s="1" customFormat="1" ht="14.25" x14ac:dyDescent="0.2">
      <c r="A31" s="54" t="s">
        <v>16</v>
      </c>
      <c r="B31" s="55">
        <v>0.4</v>
      </c>
      <c r="C31" s="28"/>
      <c r="D31" s="63" t="s">
        <v>164</v>
      </c>
      <c r="E31" s="66">
        <f>B55</f>
        <v>0.23</v>
      </c>
      <c r="F31" s="65"/>
      <c r="G31"/>
      <c r="H31" s="221"/>
      <c r="I31"/>
      <c r="J31"/>
      <c r="K31" s="221"/>
      <c r="L31"/>
      <c r="M31" s="28" t="s">
        <v>3</v>
      </c>
      <c r="N31" s="32">
        <f>B25</f>
        <v>1</v>
      </c>
      <c r="O31" s="28"/>
      <c r="P31"/>
      <c r="Q31" s="221"/>
      <c r="R31"/>
      <c r="S31"/>
      <c r="T31" s="221"/>
      <c r="U31"/>
      <c r="V31" s="28" t="s">
        <v>3</v>
      </c>
      <c r="W31" s="32">
        <f>B25</f>
        <v>1</v>
      </c>
      <c r="X31" s="28"/>
      <c r="Y31"/>
      <c r="Z31" s="221"/>
      <c r="AA31"/>
      <c r="AB31"/>
      <c r="AC31" s="221"/>
      <c r="AD31"/>
      <c r="AE31" s="28" t="s">
        <v>3</v>
      </c>
      <c r="AF31" s="32">
        <f>B25</f>
        <v>1</v>
      </c>
      <c r="AG31" s="28"/>
      <c r="AH31"/>
      <c r="AI31" s="221"/>
      <c r="AJ31"/>
      <c r="AK31"/>
      <c r="AL31" s="221"/>
      <c r="AM31"/>
    </row>
    <row r="32" spans="1:39" s="1" customFormat="1" ht="14.25" x14ac:dyDescent="0.2">
      <c r="A32" s="54" t="s">
        <v>31</v>
      </c>
      <c r="B32" s="52">
        <v>666666666</v>
      </c>
      <c r="C32" s="54" t="s">
        <v>32</v>
      </c>
      <c r="D32" s="63" t="s">
        <v>147</v>
      </c>
      <c r="E32" s="66">
        <f>B52</f>
        <v>49</v>
      </c>
      <c r="F32" s="65" t="s">
        <v>24</v>
      </c>
      <c r="G32" s="28" t="s">
        <v>160</v>
      </c>
      <c r="H32" s="221">
        <f>B50</f>
        <v>1.752</v>
      </c>
      <c r="I32" t="s">
        <v>203</v>
      </c>
      <c r="J32" s="28" t="s">
        <v>160</v>
      </c>
      <c r="K32" s="221">
        <f>B50</f>
        <v>1.752</v>
      </c>
      <c r="L32" t="s">
        <v>203</v>
      </c>
      <c r="M32" s="28" t="s">
        <v>27</v>
      </c>
      <c r="N32" s="32">
        <f>B26</f>
        <v>1</v>
      </c>
      <c r="O32" s="28"/>
      <c r="P32" t="s">
        <v>89</v>
      </c>
      <c r="Q32" s="221">
        <f>B58</f>
        <v>8</v>
      </c>
      <c r="R32" t="s">
        <v>203</v>
      </c>
      <c r="S32" t="s">
        <v>89</v>
      </c>
      <c r="T32" s="221">
        <f>B58</f>
        <v>8</v>
      </c>
      <c r="U32" t="s">
        <v>203</v>
      </c>
      <c r="V32" s="28" t="s">
        <v>27</v>
      </c>
      <c r="W32" s="32">
        <f>B26</f>
        <v>1</v>
      </c>
      <c r="X32" s="28"/>
      <c r="Y32" t="s">
        <v>89</v>
      </c>
      <c r="Z32" s="221">
        <f>B67</f>
        <v>8</v>
      </c>
      <c r="AA32" t="s">
        <v>203</v>
      </c>
      <c r="AB32" t="s">
        <v>89</v>
      </c>
      <c r="AC32" s="221">
        <f>B67</f>
        <v>8</v>
      </c>
      <c r="AD32" t="s">
        <v>203</v>
      </c>
      <c r="AE32" s="28" t="s">
        <v>27</v>
      </c>
      <c r="AF32" s="32">
        <f>B26</f>
        <v>1</v>
      </c>
      <c r="AG32" s="28"/>
      <c r="AH32" t="s">
        <v>89</v>
      </c>
      <c r="AI32" s="221">
        <f>B76</f>
        <v>8</v>
      </c>
      <c r="AJ32" t="s">
        <v>203</v>
      </c>
      <c r="AK32" t="s">
        <v>89</v>
      </c>
      <c r="AL32" s="221">
        <f>B76</f>
        <v>8</v>
      </c>
      <c r="AM32" t="s">
        <v>203</v>
      </c>
    </row>
    <row r="33" spans="1:39" s="1" customFormat="1" ht="14.25" x14ac:dyDescent="0.2">
      <c r="A33" s="38" t="s">
        <v>65</v>
      </c>
      <c r="B33" s="42">
        <v>0</v>
      </c>
      <c r="C33"/>
      <c r="D33" s="63" t="s">
        <v>146</v>
      </c>
      <c r="E33" s="66">
        <f>B53</f>
        <v>16</v>
      </c>
      <c r="F33" s="65" t="s">
        <v>24</v>
      </c>
      <c r="G33" t="s">
        <v>3</v>
      </c>
      <c r="H33" s="221">
        <f>B25</f>
        <v>1</v>
      </c>
      <c r="I33"/>
      <c r="J33" t="s">
        <v>3</v>
      </c>
      <c r="K33" s="221">
        <f>B25</f>
        <v>1</v>
      </c>
      <c r="L33"/>
      <c r="M33" s="28" t="s">
        <v>29</v>
      </c>
      <c r="N33" s="32">
        <f>B29</f>
        <v>0.4</v>
      </c>
      <c r="O33" s="28"/>
      <c r="P33" t="s">
        <v>3</v>
      </c>
      <c r="Q33" s="221">
        <f>B25</f>
        <v>1</v>
      </c>
      <c r="R33"/>
      <c r="S33" t="s">
        <v>3</v>
      </c>
      <c r="T33" s="221">
        <f>B25</f>
        <v>1</v>
      </c>
      <c r="U33"/>
      <c r="V33" s="28" t="s">
        <v>29</v>
      </c>
      <c r="W33" s="32">
        <f>B29</f>
        <v>0.4</v>
      </c>
      <c r="X33" s="28"/>
      <c r="Y33" t="s">
        <v>3</v>
      </c>
      <c r="Z33" s="221">
        <f>B25</f>
        <v>1</v>
      </c>
      <c r="AA33"/>
      <c r="AB33" t="s">
        <v>3</v>
      </c>
      <c r="AC33" s="221">
        <f>B25</f>
        <v>1</v>
      </c>
      <c r="AD33"/>
      <c r="AE33" s="28" t="s">
        <v>29</v>
      </c>
      <c r="AF33" s="32">
        <f>B29</f>
        <v>0.4</v>
      </c>
      <c r="AG33" s="28"/>
      <c r="AH33" t="s">
        <v>3</v>
      </c>
      <c r="AI33" s="221">
        <f>B25</f>
        <v>1</v>
      </c>
      <c r="AJ33"/>
      <c r="AK33" t="s">
        <v>3</v>
      </c>
      <c r="AL33" s="221">
        <f>B25</f>
        <v>1</v>
      </c>
      <c r="AM33"/>
    </row>
    <row r="34" spans="1:39" s="1" customFormat="1" ht="15" x14ac:dyDescent="0.2">
      <c r="A34" s="415" t="s">
        <v>7</v>
      </c>
      <c r="B34" s="415"/>
      <c r="C34" s="415"/>
      <c r="D34" s="67" t="s">
        <v>151</v>
      </c>
      <c r="E34" s="66">
        <f>B48</f>
        <v>2</v>
      </c>
      <c r="F34" s="65" t="s">
        <v>204</v>
      </c>
      <c r="G34" s="29" t="s">
        <v>27</v>
      </c>
      <c r="H34" s="222">
        <f>B26</f>
        <v>1</v>
      </c>
      <c r="I34" s="29"/>
      <c r="J34" s="29" t="s">
        <v>27</v>
      </c>
      <c r="K34" s="222">
        <f>B26</f>
        <v>1</v>
      </c>
      <c r="L34" s="29"/>
      <c r="M34" s="54" t="s">
        <v>99</v>
      </c>
      <c r="N34" s="32">
        <f>B30</f>
        <v>1</v>
      </c>
      <c r="O34" s="28"/>
      <c r="P34" s="29" t="s">
        <v>27</v>
      </c>
      <c r="Q34" s="222">
        <f>B26</f>
        <v>1</v>
      </c>
      <c r="R34" s="29"/>
      <c r="S34" s="29" t="s">
        <v>27</v>
      </c>
      <c r="T34" s="222">
        <f>B26</f>
        <v>1</v>
      </c>
      <c r="U34" s="29"/>
      <c r="V34" s="54" t="s">
        <v>99</v>
      </c>
      <c r="W34" s="32">
        <f>B30</f>
        <v>1</v>
      </c>
      <c r="X34" s="28"/>
      <c r="Y34" s="29" t="s">
        <v>27</v>
      </c>
      <c r="Z34" s="222">
        <f>B26</f>
        <v>1</v>
      </c>
      <c r="AA34" s="29"/>
      <c r="AB34" s="29" t="s">
        <v>27</v>
      </c>
      <c r="AC34" s="222">
        <f>B26</f>
        <v>1</v>
      </c>
      <c r="AD34" s="29"/>
      <c r="AE34" s="54" t="s">
        <v>99</v>
      </c>
      <c r="AF34" s="32">
        <f>B30</f>
        <v>1</v>
      </c>
      <c r="AG34" s="28"/>
      <c r="AH34" s="29" t="s">
        <v>27</v>
      </c>
      <c r="AI34" s="222">
        <f>B26</f>
        <v>1</v>
      </c>
      <c r="AJ34" s="29"/>
      <c r="AK34" s="29" t="s">
        <v>27</v>
      </c>
      <c r="AL34" s="222">
        <f>B26</f>
        <v>1</v>
      </c>
      <c r="AM34" s="29"/>
    </row>
    <row r="35" spans="1:39" x14ac:dyDescent="0.2">
      <c r="A35" s="40" t="s">
        <v>155</v>
      </c>
      <c r="B35" s="166">
        <v>350</v>
      </c>
      <c r="C35" s="40" t="s">
        <v>202</v>
      </c>
      <c r="D35" s="67" t="s">
        <v>150</v>
      </c>
      <c r="E35" s="66">
        <f>B49</f>
        <v>10</v>
      </c>
      <c r="F35" s="65" t="s">
        <v>204</v>
      </c>
      <c r="G35" s="28" t="s">
        <v>139</v>
      </c>
      <c r="H35" s="221">
        <f>B24</f>
        <v>1</v>
      </c>
      <c r="J35" s="28" t="s">
        <v>139</v>
      </c>
      <c r="K35" s="221">
        <f>B24</f>
        <v>1</v>
      </c>
      <c r="M35" s="54" t="s">
        <v>16</v>
      </c>
      <c r="N35" s="32">
        <f>B31</f>
        <v>0.4</v>
      </c>
      <c r="P35" s="28" t="s">
        <v>139</v>
      </c>
      <c r="Q35" s="221">
        <f>B24</f>
        <v>1</v>
      </c>
      <c r="S35" s="28" t="s">
        <v>139</v>
      </c>
      <c r="T35" s="221">
        <f>B24</f>
        <v>1</v>
      </c>
      <c r="V35" s="54" t="s">
        <v>16</v>
      </c>
      <c r="W35" s="32">
        <f>B31</f>
        <v>0.4</v>
      </c>
      <c r="Y35" s="28" t="s">
        <v>139</v>
      </c>
      <c r="Z35" s="221">
        <f>B24</f>
        <v>1</v>
      </c>
      <c r="AB35" s="28" t="s">
        <v>139</v>
      </c>
      <c r="AC35" s="221">
        <f>B24</f>
        <v>1</v>
      </c>
      <c r="AE35" s="54" t="s">
        <v>16</v>
      </c>
      <c r="AF35" s="32">
        <f>B31</f>
        <v>0.4</v>
      </c>
      <c r="AH35" s="28" t="s">
        <v>139</v>
      </c>
      <c r="AI35" s="221">
        <f>B24</f>
        <v>1</v>
      </c>
      <c r="AK35" s="28" t="s">
        <v>139</v>
      </c>
      <c r="AL35" s="221">
        <f>B24</f>
        <v>1</v>
      </c>
    </row>
    <row r="36" spans="1:39" x14ac:dyDescent="0.2">
      <c r="A36" s="40" t="s">
        <v>156</v>
      </c>
      <c r="B36" s="166">
        <v>350</v>
      </c>
      <c r="C36" s="40" t="s">
        <v>202</v>
      </c>
      <c r="D36" s="63" t="s">
        <v>149</v>
      </c>
      <c r="E36" s="66">
        <f>B47</f>
        <v>20</v>
      </c>
      <c r="F36" s="65" t="s">
        <v>26</v>
      </c>
      <c r="G36" s="28" t="s">
        <v>161</v>
      </c>
      <c r="H36" s="221">
        <f>B51</f>
        <v>16.399999999999999</v>
      </c>
      <c r="J36" s="28" t="s">
        <v>161</v>
      </c>
      <c r="K36" s="221">
        <f>B51</f>
        <v>16.399999999999999</v>
      </c>
      <c r="M36" s="28" t="s">
        <v>30</v>
      </c>
      <c r="N36" s="32">
        <f>B18</f>
        <v>1</v>
      </c>
      <c r="Q36" s="221"/>
      <c r="T36" s="221"/>
      <c r="V36" s="28" t="s">
        <v>30</v>
      </c>
      <c r="W36" s="32">
        <f>B18</f>
        <v>1</v>
      </c>
      <c r="Z36" s="221"/>
      <c r="AC36" s="221"/>
      <c r="AE36" s="28" t="s">
        <v>30</v>
      </c>
      <c r="AF36" s="32">
        <f>B18</f>
        <v>1</v>
      </c>
      <c r="AI36" s="221"/>
      <c r="AL36" s="221"/>
    </row>
    <row r="37" spans="1:39" x14ac:dyDescent="0.2">
      <c r="A37" s="40" t="s">
        <v>157</v>
      </c>
      <c r="B37" s="166">
        <v>350</v>
      </c>
      <c r="C37" s="40" t="s">
        <v>202</v>
      </c>
      <c r="D37" s="68" t="s">
        <v>148</v>
      </c>
      <c r="E37" s="69">
        <f>B46</f>
        <v>10</v>
      </c>
      <c r="F37" s="70" t="s">
        <v>26</v>
      </c>
      <c r="G37" t="s">
        <v>90</v>
      </c>
      <c r="H37" s="221">
        <f>B23</f>
        <v>1.19</v>
      </c>
      <c r="J37" s="38" t="s">
        <v>141</v>
      </c>
      <c r="K37" s="221">
        <f>B17</f>
        <v>1</v>
      </c>
      <c r="M37" s="54" t="s">
        <v>31</v>
      </c>
      <c r="N37" s="53">
        <f>B32</f>
        <v>666666666</v>
      </c>
      <c r="O37" s="54" t="s">
        <v>32</v>
      </c>
      <c r="P37" s="30" t="s">
        <v>5</v>
      </c>
      <c r="Q37" s="221">
        <f>B23</f>
        <v>1.19</v>
      </c>
      <c r="R37" t="s">
        <v>91</v>
      </c>
      <c r="S37" s="38" t="s">
        <v>141</v>
      </c>
      <c r="T37" s="221">
        <f>B17</f>
        <v>1</v>
      </c>
      <c r="V37" s="54" t="s">
        <v>31</v>
      </c>
      <c r="W37" s="53">
        <f>B32</f>
        <v>666666666</v>
      </c>
      <c r="X37" s="54" t="s">
        <v>32</v>
      </c>
      <c r="Y37" s="30" t="s">
        <v>5</v>
      </c>
      <c r="Z37" s="221">
        <f>B23</f>
        <v>1.19</v>
      </c>
      <c r="AA37" t="s">
        <v>91</v>
      </c>
      <c r="AB37" s="38" t="s">
        <v>141</v>
      </c>
      <c r="AC37" s="221">
        <f>B17</f>
        <v>1</v>
      </c>
      <c r="AE37" s="54" t="s">
        <v>31</v>
      </c>
      <c r="AF37" s="53">
        <f>B32</f>
        <v>666666666</v>
      </c>
      <c r="AG37" s="54" t="s">
        <v>32</v>
      </c>
      <c r="AH37" s="30" t="s">
        <v>5</v>
      </c>
      <c r="AI37" s="221">
        <f>B23</f>
        <v>1.19</v>
      </c>
      <c r="AJ37" t="s">
        <v>91</v>
      </c>
      <c r="AK37" s="38" t="s">
        <v>141</v>
      </c>
      <c r="AL37" s="221">
        <f>B17</f>
        <v>1</v>
      </c>
    </row>
    <row r="38" spans="1:39" x14ac:dyDescent="0.2">
      <c r="A38" s="40" t="s">
        <v>154</v>
      </c>
      <c r="B38" s="42">
        <v>24</v>
      </c>
      <c r="C38" s="40" t="s">
        <v>203</v>
      </c>
      <c r="D38" s="28" t="s">
        <v>125</v>
      </c>
      <c r="E38" s="32">
        <f>B43</f>
        <v>1</v>
      </c>
      <c r="F38" s="28" t="s">
        <v>205</v>
      </c>
      <c r="H38" s="221"/>
      <c r="J38" s="38" t="s">
        <v>142</v>
      </c>
      <c r="K38" s="221">
        <f>B18</f>
        <v>1</v>
      </c>
      <c r="M38" s="44" t="s">
        <v>98</v>
      </c>
      <c r="N38" s="43">
        <f>PEF!G2</f>
        <v>9520180.8385802973</v>
      </c>
      <c r="O38" s="28" t="s">
        <v>34</v>
      </c>
      <c r="Q38" s="221"/>
      <c r="S38" s="38" t="s">
        <v>142</v>
      </c>
      <c r="T38" s="221">
        <f>B18</f>
        <v>1</v>
      </c>
      <c r="V38" s="44" t="s">
        <v>98</v>
      </c>
      <c r="W38" s="43">
        <f>PEF!G2</f>
        <v>9520180.8385802973</v>
      </c>
      <c r="X38" s="28" t="s">
        <v>34</v>
      </c>
      <c r="AB38" s="38" t="s">
        <v>142</v>
      </c>
      <c r="AC38" s="221">
        <f>B18</f>
        <v>1</v>
      </c>
      <c r="AE38" s="44" t="s">
        <v>98</v>
      </c>
      <c r="AF38" s="43">
        <f>PEF!G2</f>
        <v>9520180.8385802973</v>
      </c>
      <c r="AG38" s="28" t="s">
        <v>34</v>
      </c>
      <c r="AI38" s="221"/>
      <c r="AK38" s="38" t="s">
        <v>142</v>
      </c>
      <c r="AL38" s="221">
        <f>B18</f>
        <v>1</v>
      </c>
    </row>
    <row r="39" spans="1:39" x14ac:dyDescent="0.2">
      <c r="A39" s="40" t="s">
        <v>158</v>
      </c>
      <c r="B39" s="42">
        <v>4</v>
      </c>
      <c r="C39" s="40" t="s">
        <v>203</v>
      </c>
      <c r="D39" s="28" t="s">
        <v>3</v>
      </c>
      <c r="E39" s="32">
        <f>B25</f>
        <v>1</v>
      </c>
      <c r="H39" s="221"/>
      <c r="J39" s="38" t="s">
        <v>143</v>
      </c>
      <c r="K39" s="221">
        <f>B19</f>
        <v>1</v>
      </c>
      <c r="M39" s="28" t="s">
        <v>33</v>
      </c>
      <c r="N39" s="43">
        <f>PEF!C2</f>
        <v>1365593623.3683286</v>
      </c>
      <c r="O39" s="28" t="s">
        <v>34</v>
      </c>
      <c r="Q39" s="221"/>
      <c r="S39" s="38" t="s">
        <v>143</v>
      </c>
      <c r="T39" s="221">
        <f>B19</f>
        <v>1</v>
      </c>
      <c r="V39" s="28" t="s">
        <v>33</v>
      </c>
      <c r="W39" s="43">
        <f>PEF!C2</f>
        <v>1365593623.3683286</v>
      </c>
      <c r="X39" s="28" t="s">
        <v>34</v>
      </c>
      <c r="AB39" s="38" t="s">
        <v>143</v>
      </c>
      <c r="AC39" s="221">
        <f>B19</f>
        <v>1</v>
      </c>
      <c r="AE39" s="28" t="s">
        <v>33</v>
      </c>
      <c r="AF39" s="43">
        <f>PEF!C2</f>
        <v>1365593623.3683286</v>
      </c>
      <c r="AG39" s="28" t="s">
        <v>34</v>
      </c>
      <c r="AI39" s="221"/>
      <c r="AK39" s="38" t="s">
        <v>143</v>
      </c>
      <c r="AL39" s="221">
        <f>B19</f>
        <v>1</v>
      </c>
    </row>
    <row r="40" spans="1:39" x14ac:dyDescent="0.2">
      <c r="A40" s="40" t="s">
        <v>159</v>
      </c>
      <c r="B40" s="42">
        <v>4</v>
      </c>
      <c r="C40" s="40" t="s">
        <v>203</v>
      </c>
      <c r="D40" s="28" t="s">
        <v>27</v>
      </c>
      <c r="E40" s="32">
        <f>B26</f>
        <v>1</v>
      </c>
      <c r="H40" s="221"/>
      <c r="J40" s="38" t="s">
        <v>144</v>
      </c>
      <c r="K40" s="221">
        <f>B20</f>
        <v>1</v>
      </c>
      <c r="M40" s="28" t="s">
        <v>102</v>
      </c>
      <c r="N40" s="32">
        <f>B22</f>
        <v>137</v>
      </c>
      <c r="O40" s="28" t="s">
        <v>103</v>
      </c>
      <c r="Q40" s="221"/>
      <c r="S40" s="38" t="s">
        <v>144</v>
      </c>
      <c r="T40" s="221">
        <f>B20</f>
        <v>1</v>
      </c>
      <c r="V40" s="28" t="s">
        <v>102</v>
      </c>
      <c r="W40" s="32">
        <f>B22</f>
        <v>137</v>
      </c>
      <c r="X40" s="28" t="s">
        <v>103</v>
      </c>
      <c r="AB40" s="38" t="s">
        <v>144</v>
      </c>
      <c r="AC40" s="221">
        <f>B20</f>
        <v>1</v>
      </c>
      <c r="AE40" s="28" t="s">
        <v>102</v>
      </c>
      <c r="AF40" s="32">
        <f>B22</f>
        <v>137</v>
      </c>
      <c r="AG40" s="28" t="s">
        <v>103</v>
      </c>
      <c r="AI40" s="221"/>
      <c r="AK40" s="38" t="s">
        <v>144</v>
      </c>
      <c r="AL40" s="221">
        <f>B20</f>
        <v>1</v>
      </c>
    </row>
    <row r="41" spans="1:39" x14ac:dyDescent="0.2">
      <c r="A41" s="40" t="s">
        <v>152</v>
      </c>
      <c r="B41" s="42">
        <v>24</v>
      </c>
      <c r="C41" s="40" t="s">
        <v>203</v>
      </c>
      <c r="D41" s="28" t="s">
        <v>160</v>
      </c>
      <c r="E41" s="32">
        <f>B50</f>
        <v>1.752</v>
      </c>
      <c r="F41" s="28" t="s">
        <v>203</v>
      </c>
      <c r="H41" s="221"/>
      <c r="J41" s="38" t="s">
        <v>145</v>
      </c>
      <c r="K41" s="221">
        <f>B21</f>
        <v>1</v>
      </c>
      <c r="M41" s="28" t="s">
        <v>100</v>
      </c>
      <c r="N41" s="207">
        <v>27.027027027027</v>
      </c>
      <c r="O41" s="28" t="s">
        <v>101</v>
      </c>
      <c r="Q41" s="221"/>
      <c r="S41" s="38" t="s">
        <v>145</v>
      </c>
      <c r="T41" s="221">
        <f>B21</f>
        <v>1</v>
      </c>
      <c r="V41" s="28" t="s">
        <v>100</v>
      </c>
      <c r="W41" s="207">
        <v>27.027027027027</v>
      </c>
      <c r="X41" s="28" t="s">
        <v>101</v>
      </c>
      <c r="AB41" s="38" t="s">
        <v>145</v>
      </c>
      <c r="AC41" s="221">
        <f>B21</f>
        <v>1</v>
      </c>
      <c r="AE41" s="28" t="s">
        <v>100</v>
      </c>
      <c r="AF41" s="207">
        <v>27.027027027027</v>
      </c>
      <c r="AG41" s="28" t="s">
        <v>101</v>
      </c>
      <c r="AI41" s="221"/>
      <c r="AK41" s="38" t="s">
        <v>145</v>
      </c>
      <c r="AL41" s="221">
        <f>B21</f>
        <v>1</v>
      </c>
    </row>
    <row r="42" spans="1:39" x14ac:dyDescent="0.2">
      <c r="A42" s="40" t="s">
        <v>153</v>
      </c>
      <c r="B42" s="42">
        <v>24</v>
      </c>
      <c r="C42" s="40" t="s">
        <v>203</v>
      </c>
      <c r="D42" s="28" t="s">
        <v>161</v>
      </c>
      <c r="E42" s="32">
        <f>B51</f>
        <v>16.399999999999999</v>
      </c>
      <c r="F42" s="28" t="s">
        <v>203</v>
      </c>
      <c r="G42" s="28" t="s">
        <v>100</v>
      </c>
      <c r="H42" s="207">
        <v>27.027027027027</v>
      </c>
      <c r="I42" s="28" t="s">
        <v>101</v>
      </c>
      <c r="J42" s="28" t="s">
        <v>100</v>
      </c>
      <c r="K42" s="207">
        <v>27.027027027027</v>
      </c>
      <c r="L42" s="28" t="s">
        <v>101</v>
      </c>
      <c r="M42" s="28" t="s">
        <v>104</v>
      </c>
      <c r="N42" s="32">
        <f>2.8*(10^(-15))</f>
        <v>2.8000000000000001E-15</v>
      </c>
      <c r="P42" s="28" t="s">
        <v>100</v>
      </c>
      <c r="Q42" s="207">
        <v>27.027027027027</v>
      </c>
      <c r="R42" s="28" t="s">
        <v>101</v>
      </c>
      <c r="S42" s="28" t="s">
        <v>100</v>
      </c>
      <c r="T42" s="207">
        <v>27.027027027027</v>
      </c>
      <c r="U42" s="28" t="s">
        <v>101</v>
      </c>
      <c r="V42" s="28" t="s">
        <v>104</v>
      </c>
      <c r="W42" s="32">
        <f>2.8*(10^(-15))</f>
        <v>2.8000000000000001E-15</v>
      </c>
      <c r="Y42" s="28" t="s">
        <v>100</v>
      </c>
      <c r="Z42" s="207">
        <v>27.027027027027</v>
      </c>
      <c r="AA42" s="28" t="s">
        <v>101</v>
      </c>
      <c r="AB42" s="28" t="s">
        <v>100</v>
      </c>
      <c r="AC42" s="207">
        <v>27.027027027027</v>
      </c>
      <c r="AD42" s="28" t="s">
        <v>101</v>
      </c>
      <c r="AE42" s="28" t="s">
        <v>104</v>
      </c>
      <c r="AF42" s="32">
        <f>2.8*(10^(-15))</f>
        <v>2.8000000000000001E-15</v>
      </c>
      <c r="AH42" s="28" t="s">
        <v>100</v>
      </c>
      <c r="AI42" s="207">
        <v>27.027027027027</v>
      </c>
      <c r="AJ42" s="28" t="s">
        <v>101</v>
      </c>
      <c r="AK42" s="28" t="s">
        <v>100</v>
      </c>
      <c r="AL42" s="207">
        <v>27.027027027027</v>
      </c>
      <c r="AM42" s="28" t="s">
        <v>101</v>
      </c>
    </row>
    <row r="43" spans="1:39" x14ac:dyDescent="0.2">
      <c r="A43" s="40" t="s">
        <v>125</v>
      </c>
      <c r="B43" s="42">
        <v>1</v>
      </c>
      <c r="C43" s="40" t="s">
        <v>10</v>
      </c>
      <c r="D43" s="28" t="s">
        <v>29</v>
      </c>
      <c r="E43" s="32">
        <f>B29</f>
        <v>0.4</v>
      </c>
      <c r="G43" s="28" t="s">
        <v>102</v>
      </c>
      <c r="H43" s="32">
        <f>B22</f>
        <v>137</v>
      </c>
      <c r="I43" s="28" t="s">
        <v>103</v>
      </c>
      <c r="J43" s="28" t="s">
        <v>102</v>
      </c>
      <c r="K43" s="32">
        <f>B22</f>
        <v>137</v>
      </c>
      <c r="L43" s="28" t="s">
        <v>103</v>
      </c>
      <c r="P43" s="28" t="s">
        <v>102</v>
      </c>
      <c r="Q43" s="32">
        <f>B22</f>
        <v>137</v>
      </c>
      <c r="R43" s="28" t="s">
        <v>103</v>
      </c>
      <c r="S43" s="28" t="s">
        <v>102</v>
      </c>
      <c r="T43" s="32">
        <f>B22</f>
        <v>137</v>
      </c>
      <c r="U43" s="28" t="s">
        <v>103</v>
      </c>
      <c r="Y43" s="28" t="s">
        <v>102</v>
      </c>
      <c r="Z43" s="32">
        <f>B22</f>
        <v>137</v>
      </c>
      <c r="AA43" s="28" t="s">
        <v>103</v>
      </c>
      <c r="AB43" s="28" t="s">
        <v>102</v>
      </c>
      <c r="AC43" s="32">
        <f>B22</f>
        <v>137</v>
      </c>
      <c r="AD43" s="28" t="s">
        <v>103</v>
      </c>
      <c r="AH43" s="28" t="s">
        <v>102</v>
      </c>
      <c r="AI43" s="32">
        <f>B22</f>
        <v>137</v>
      </c>
      <c r="AJ43" s="28" t="s">
        <v>103</v>
      </c>
      <c r="AK43" s="28" t="s">
        <v>102</v>
      </c>
      <c r="AL43" s="32">
        <f>B22</f>
        <v>137</v>
      </c>
      <c r="AM43" s="28" t="s">
        <v>103</v>
      </c>
    </row>
    <row r="44" spans="1:39" x14ac:dyDescent="0.2">
      <c r="A44" s="40" t="s">
        <v>146</v>
      </c>
      <c r="B44" s="42">
        <v>16</v>
      </c>
      <c r="C44" s="40" t="s">
        <v>120</v>
      </c>
      <c r="D44" s="54" t="s">
        <v>99</v>
      </c>
      <c r="E44" s="32">
        <f>B30</f>
        <v>1</v>
      </c>
      <c r="G44" s="28" t="s">
        <v>104</v>
      </c>
      <c r="H44" s="32">
        <f>2.8*(10^(-12))</f>
        <v>2.7999999999999998E-12</v>
      </c>
      <c r="I44" s="28"/>
      <c r="J44" s="28" t="s">
        <v>104</v>
      </c>
      <c r="K44" s="32">
        <f>2.8*(10^(-12))</f>
        <v>2.7999999999999998E-12</v>
      </c>
      <c r="L44" s="28"/>
      <c r="P44" s="28" t="s">
        <v>104</v>
      </c>
      <c r="Q44" s="32">
        <f>2.8*(10^(-12))</f>
        <v>2.7999999999999998E-12</v>
      </c>
      <c r="R44" s="28"/>
      <c r="S44" s="28" t="s">
        <v>104</v>
      </c>
      <c r="T44" s="32">
        <f>2.8*(10^(-12))</f>
        <v>2.7999999999999998E-12</v>
      </c>
      <c r="U44" s="28"/>
      <c r="Y44" s="28" t="s">
        <v>104</v>
      </c>
      <c r="Z44" s="32">
        <f>2.8*(10^(-12))</f>
        <v>2.7999999999999998E-12</v>
      </c>
      <c r="AA44" s="28"/>
      <c r="AB44" s="28" t="s">
        <v>104</v>
      </c>
      <c r="AC44" s="32">
        <f>2.8*(10^(-12))</f>
        <v>2.7999999999999998E-12</v>
      </c>
      <c r="AD44" s="28"/>
      <c r="AH44" s="28" t="s">
        <v>104</v>
      </c>
      <c r="AI44" s="32">
        <f>2.8*(10^(-12))</f>
        <v>2.7999999999999998E-12</v>
      </c>
      <c r="AJ44" s="28"/>
      <c r="AK44" s="28" t="s">
        <v>104</v>
      </c>
      <c r="AL44" s="32">
        <f>2.8*(10^(-12))</f>
        <v>2.7999999999999998E-12</v>
      </c>
      <c r="AM44" s="28"/>
    </row>
    <row r="45" spans="1:39" x14ac:dyDescent="0.2">
      <c r="A45" s="40" t="s">
        <v>147</v>
      </c>
      <c r="B45" s="42">
        <v>49</v>
      </c>
      <c r="C45" s="40" t="s">
        <v>120</v>
      </c>
      <c r="D45" s="54" t="s">
        <v>16</v>
      </c>
      <c r="E45" s="32">
        <f>B31</f>
        <v>0.4</v>
      </c>
      <c r="G45" s="28" t="s">
        <v>104</v>
      </c>
      <c r="H45" s="32">
        <f>2.8*(10^(-15))</f>
        <v>2.8000000000000001E-15</v>
      </c>
      <c r="J45" s="28" t="s">
        <v>104</v>
      </c>
      <c r="K45" s="32">
        <f>2.8*(10^(-15))</f>
        <v>2.8000000000000001E-15</v>
      </c>
      <c r="P45" s="28" t="s">
        <v>104</v>
      </c>
      <c r="Q45" s="32">
        <f>2.8*(10^(-15))</f>
        <v>2.8000000000000001E-15</v>
      </c>
      <c r="S45" s="28" t="s">
        <v>104</v>
      </c>
      <c r="T45" s="32">
        <f>2.8*(10^(-15))</f>
        <v>2.8000000000000001E-15</v>
      </c>
      <c r="Y45" s="28" t="s">
        <v>104</v>
      </c>
      <c r="Z45" s="32">
        <f>2.8*(10^(-15))</f>
        <v>2.8000000000000001E-15</v>
      </c>
      <c r="AB45" s="28" t="s">
        <v>104</v>
      </c>
      <c r="AC45" s="32">
        <f>2.8*(10^(-15))</f>
        <v>2.8000000000000001E-15</v>
      </c>
      <c r="AH45" s="28" t="s">
        <v>104</v>
      </c>
      <c r="AI45" s="32">
        <f>2.8*(10^(-15))</f>
        <v>2.8000000000000001E-15</v>
      </c>
      <c r="AK45" s="28" t="s">
        <v>104</v>
      </c>
      <c r="AL45" s="32">
        <f>2.8*(10^(-15))</f>
        <v>2.8000000000000001E-15</v>
      </c>
    </row>
    <row r="46" spans="1:39" x14ac:dyDescent="0.2">
      <c r="A46" s="40" t="s">
        <v>148</v>
      </c>
      <c r="B46" s="42">
        <v>10</v>
      </c>
      <c r="C46" s="40" t="s">
        <v>121</v>
      </c>
      <c r="D46" s="28" t="s">
        <v>30</v>
      </c>
      <c r="E46" s="32">
        <f>B18</f>
        <v>1</v>
      </c>
      <c r="Z46" s="221"/>
      <c r="AC46" s="221"/>
    </row>
    <row r="47" spans="1:39" x14ac:dyDescent="0.2">
      <c r="A47" s="40" t="s">
        <v>149</v>
      </c>
      <c r="B47" s="42">
        <v>20</v>
      </c>
      <c r="C47" s="40" t="s">
        <v>121</v>
      </c>
      <c r="D47" s="54" t="s">
        <v>31</v>
      </c>
      <c r="E47" s="53">
        <f>B32</f>
        <v>666666666</v>
      </c>
      <c r="F47" s="54" t="s">
        <v>32</v>
      </c>
      <c r="G47" s="343">
        <f>E6/(0.0000000662)</f>
        <v>3.3350728271433242E-6</v>
      </c>
      <c r="H47" s="343"/>
      <c r="I47" s="343"/>
    </row>
    <row r="48" spans="1:39" x14ac:dyDescent="0.2">
      <c r="A48" s="40" t="s">
        <v>151</v>
      </c>
      <c r="B48" s="55">
        <v>2</v>
      </c>
      <c r="C48" s="28" t="s">
        <v>204</v>
      </c>
      <c r="D48" s="44" t="s">
        <v>98</v>
      </c>
      <c r="E48" s="43">
        <f>PEF!E2</f>
        <v>9520180.8385802973</v>
      </c>
      <c r="F48" s="28" t="s">
        <v>34</v>
      </c>
      <c r="G48" s="343"/>
      <c r="H48" s="343"/>
      <c r="I48" s="343"/>
    </row>
    <row r="49" spans="1:9" x14ac:dyDescent="0.2">
      <c r="A49" s="40" t="s">
        <v>150</v>
      </c>
      <c r="B49" s="55">
        <v>10</v>
      </c>
      <c r="C49" s="28" t="s">
        <v>204</v>
      </c>
      <c r="D49" s="28" t="s">
        <v>33</v>
      </c>
      <c r="E49" s="43">
        <f>PEF!C2</f>
        <v>1365593623.3683286</v>
      </c>
      <c r="F49" s="28" t="s">
        <v>34</v>
      </c>
      <c r="G49" s="343"/>
      <c r="H49" s="343"/>
      <c r="I49" s="343"/>
    </row>
    <row r="50" spans="1:9" x14ac:dyDescent="0.2">
      <c r="A50" s="28" t="s">
        <v>160</v>
      </c>
      <c r="B50" s="55">
        <v>1.752</v>
      </c>
      <c r="C50" s="28" t="s">
        <v>203</v>
      </c>
      <c r="D50" s="28" t="s">
        <v>102</v>
      </c>
      <c r="E50" s="32">
        <f>B22</f>
        <v>137</v>
      </c>
      <c r="F50" s="28" t="s">
        <v>103</v>
      </c>
      <c r="G50" s="343">
        <f>E17*0.037</f>
        <v>1.9397707784352541E-2</v>
      </c>
      <c r="H50" s="343"/>
      <c r="I50" s="343"/>
    </row>
    <row r="51" spans="1:9" x14ac:dyDescent="0.2">
      <c r="A51" s="28" t="s">
        <v>161</v>
      </c>
      <c r="B51" s="55">
        <v>16.399999999999999</v>
      </c>
      <c r="C51" s="28" t="s">
        <v>203</v>
      </c>
      <c r="D51" s="28" t="s">
        <v>100</v>
      </c>
      <c r="E51" s="207">
        <v>27.027027027027</v>
      </c>
      <c r="F51" s="28" t="s">
        <v>101</v>
      </c>
      <c r="G51" s="343">
        <f>E18*0.037</f>
        <v>7.3990964698527413E-4</v>
      </c>
    </row>
    <row r="52" spans="1:9" x14ac:dyDescent="0.2">
      <c r="A52" s="28" t="s">
        <v>147</v>
      </c>
      <c r="B52" s="55">
        <v>49</v>
      </c>
      <c r="C52" s="28" t="s">
        <v>24</v>
      </c>
      <c r="D52" s="28" t="s">
        <v>104</v>
      </c>
      <c r="E52" s="32">
        <f>2.8*(10^(-15))</f>
        <v>2.8000000000000001E-15</v>
      </c>
      <c r="G52" s="343">
        <f>E19*0.037</f>
        <v>0.1061341074212704</v>
      </c>
    </row>
    <row r="53" spans="1:9" x14ac:dyDescent="0.2">
      <c r="A53" s="28" t="s">
        <v>146</v>
      </c>
      <c r="B53" s="55">
        <v>16</v>
      </c>
      <c r="C53" s="28" t="s">
        <v>24</v>
      </c>
      <c r="G53" s="343">
        <f>E20*0.037</f>
        <v>0.17593150870058424</v>
      </c>
    </row>
    <row r="54" spans="1:9" x14ac:dyDescent="0.2">
      <c r="A54" s="28" t="s">
        <v>163</v>
      </c>
      <c r="B54" s="55">
        <v>0.77</v>
      </c>
      <c r="C54" s="28"/>
      <c r="F54" s="31" t="s">
        <v>95</v>
      </c>
    </row>
    <row r="55" spans="1:9" x14ac:dyDescent="0.2">
      <c r="A55" s="28" t="s">
        <v>164</v>
      </c>
      <c r="B55" s="55">
        <v>0.23</v>
      </c>
      <c r="C55" s="28"/>
      <c r="F55" s="31" t="s">
        <v>96</v>
      </c>
    </row>
    <row r="56" spans="1:9" ht="15" x14ac:dyDescent="0.2">
      <c r="A56" s="410" t="s">
        <v>180</v>
      </c>
      <c r="B56" s="410"/>
      <c r="C56" s="410"/>
      <c r="F56" s="31" t="s">
        <v>97</v>
      </c>
    </row>
    <row r="57" spans="1:9" x14ac:dyDescent="0.2">
      <c r="A57" s="40" t="s">
        <v>133</v>
      </c>
      <c r="B57" s="166">
        <v>250</v>
      </c>
      <c r="C57" s="40" t="s">
        <v>202</v>
      </c>
    </row>
    <row r="58" spans="1:9" x14ac:dyDescent="0.2">
      <c r="A58" s="40" t="s">
        <v>122</v>
      </c>
      <c r="B58" s="42">
        <v>8</v>
      </c>
      <c r="C58" s="40" t="s">
        <v>203</v>
      </c>
    </row>
    <row r="59" spans="1:9" x14ac:dyDescent="0.2">
      <c r="A59" s="40" t="s">
        <v>185</v>
      </c>
      <c r="B59" s="42">
        <v>4</v>
      </c>
      <c r="C59" s="40" t="s">
        <v>203</v>
      </c>
    </row>
    <row r="60" spans="1:9" x14ac:dyDescent="0.2">
      <c r="A60" s="40" t="s">
        <v>186</v>
      </c>
      <c r="B60" s="42">
        <v>4</v>
      </c>
      <c r="C60" s="40" t="s">
        <v>203</v>
      </c>
    </row>
    <row r="61" spans="1:9" x14ac:dyDescent="0.2">
      <c r="A61" s="40" t="s">
        <v>135</v>
      </c>
      <c r="B61" s="42">
        <v>1</v>
      </c>
      <c r="C61" s="40" t="s">
        <v>10</v>
      </c>
    </row>
    <row r="62" spans="1:9" x14ac:dyDescent="0.2">
      <c r="A62" s="40" t="s">
        <v>136</v>
      </c>
      <c r="B62" s="42">
        <v>49</v>
      </c>
      <c r="C62" s="40" t="s">
        <v>120</v>
      </c>
    </row>
    <row r="63" spans="1:9" x14ac:dyDescent="0.2">
      <c r="A63" s="40" t="s">
        <v>134</v>
      </c>
      <c r="B63" s="42">
        <v>2.5</v>
      </c>
      <c r="C63" s="40" t="s">
        <v>121</v>
      </c>
    </row>
    <row r="64" spans="1:9" x14ac:dyDescent="0.2">
      <c r="A64" s="40" t="s">
        <v>137</v>
      </c>
      <c r="B64" s="42">
        <v>2</v>
      </c>
      <c r="C64" s="40" t="s">
        <v>204</v>
      </c>
    </row>
    <row r="65" spans="1:3" ht="15" x14ac:dyDescent="0.2">
      <c r="A65" s="409" t="s">
        <v>181</v>
      </c>
      <c r="B65" s="409"/>
      <c r="C65" s="409"/>
    </row>
    <row r="66" spans="1:3" x14ac:dyDescent="0.2">
      <c r="A66" s="40" t="s">
        <v>128</v>
      </c>
      <c r="B66" s="166">
        <v>225</v>
      </c>
      <c r="C66" s="40" t="s">
        <v>202</v>
      </c>
    </row>
    <row r="67" spans="1:3" x14ac:dyDescent="0.2">
      <c r="A67" s="40" t="s">
        <v>122</v>
      </c>
      <c r="B67" s="42">
        <v>8</v>
      </c>
      <c r="C67" s="40" t="s">
        <v>203</v>
      </c>
    </row>
    <row r="68" spans="1:3" x14ac:dyDescent="0.2">
      <c r="A68" s="40" t="s">
        <v>183</v>
      </c>
      <c r="B68" s="42">
        <v>4</v>
      </c>
      <c r="C68" s="40" t="s">
        <v>203</v>
      </c>
    </row>
    <row r="69" spans="1:3" x14ac:dyDescent="0.2">
      <c r="A69" s="40" t="s">
        <v>184</v>
      </c>
      <c r="B69" s="42">
        <v>4</v>
      </c>
      <c r="C69" s="40" t="s">
        <v>203</v>
      </c>
    </row>
    <row r="70" spans="1:3" x14ac:dyDescent="0.2">
      <c r="A70" s="40" t="s">
        <v>129</v>
      </c>
      <c r="B70" s="42">
        <v>1</v>
      </c>
      <c r="C70" s="40" t="s">
        <v>10</v>
      </c>
    </row>
    <row r="71" spans="1:3" x14ac:dyDescent="0.2">
      <c r="A71" s="40" t="s">
        <v>130</v>
      </c>
      <c r="B71" s="42">
        <v>49</v>
      </c>
      <c r="C71" s="40" t="s">
        <v>120</v>
      </c>
    </row>
    <row r="72" spans="1:3" x14ac:dyDescent="0.2">
      <c r="A72" s="40" t="s">
        <v>127</v>
      </c>
      <c r="B72" s="42">
        <v>2.5</v>
      </c>
      <c r="C72" s="40" t="s">
        <v>121</v>
      </c>
    </row>
    <row r="73" spans="1:3" x14ac:dyDescent="0.2">
      <c r="A73" s="40" t="s">
        <v>131</v>
      </c>
      <c r="B73" s="42">
        <v>2</v>
      </c>
      <c r="C73" s="40" t="s">
        <v>204</v>
      </c>
    </row>
    <row r="74" spans="1:3" ht="15" x14ac:dyDescent="0.2">
      <c r="A74" s="408" t="s">
        <v>182</v>
      </c>
      <c r="B74" s="408"/>
      <c r="C74" s="408"/>
    </row>
    <row r="75" spans="1:3" x14ac:dyDescent="0.2">
      <c r="A75" s="40" t="s">
        <v>13</v>
      </c>
      <c r="B75" s="166">
        <v>250</v>
      </c>
      <c r="C75" s="40" t="s">
        <v>202</v>
      </c>
    </row>
    <row r="76" spans="1:3" x14ac:dyDescent="0.2">
      <c r="A76" s="40" t="s">
        <v>122</v>
      </c>
      <c r="B76" s="42">
        <v>8</v>
      </c>
      <c r="C76" s="40" t="s">
        <v>203</v>
      </c>
    </row>
    <row r="77" spans="1:3" x14ac:dyDescent="0.2">
      <c r="A77" s="40" t="s">
        <v>123</v>
      </c>
      <c r="B77" s="42">
        <v>4</v>
      </c>
      <c r="C77" s="40" t="s">
        <v>203</v>
      </c>
    </row>
    <row r="78" spans="1:3" x14ac:dyDescent="0.2">
      <c r="A78" s="40" t="s">
        <v>124</v>
      </c>
      <c r="B78" s="42">
        <v>4</v>
      </c>
      <c r="C78" s="40" t="s">
        <v>203</v>
      </c>
    </row>
    <row r="79" spans="1:3" x14ac:dyDescent="0.2">
      <c r="A79" s="40" t="s">
        <v>15</v>
      </c>
      <c r="B79" s="42">
        <v>1</v>
      </c>
      <c r="C79" s="40" t="s">
        <v>10</v>
      </c>
    </row>
    <row r="80" spans="1:3" x14ac:dyDescent="0.2">
      <c r="A80" s="40" t="s">
        <v>17</v>
      </c>
      <c r="B80" s="42">
        <v>49</v>
      </c>
      <c r="C80" s="40" t="s">
        <v>120</v>
      </c>
    </row>
    <row r="81" spans="1:3" x14ac:dyDescent="0.2">
      <c r="A81" s="40" t="s">
        <v>12</v>
      </c>
      <c r="B81" s="42">
        <v>2.5</v>
      </c>
      <c r="C81" s="40" t="s">
        <v>121</v>
      </c>
    </row>
    <row r="82" spans="1:3" x14ac:dyDescent="0.2">
      <c r="A82" s="40" t="s">
        <v>18</v>
      </c>
      <c r="B82" s="42">
        <v>3</v>
      </c>
      <c r="C82" s="40" t="s">
        <v>204</v>
      </c>
    </row>
    <row r="105" spans="1:1" x14ac:dyDescent="0.2">
      <c r="A105" s="28"/>
    </row>
    <row r="106" spans="1:1" x14ac:dyDescent="0.2">
      <c r="A106" s="28"/>
    </row>
  </sheetData>
  <mergeCells count="18">
    <mergeCell ref="J1:L1"/>
    <mergeCell ref="M1:O1"/>
    <mergeCell ref="A34:C34"/>
    <mergeCell ref="A56:C56"/>
    <mergeCell ref="A65:C65"/>
    <mergeCell ref="A74:C74"/>
    <mergeCell ref="D1:F1"/>
    <mergeCell ref="G1:I1"/>
    <mergeCell ref="A1:C1"/>
    <mergeCell ref="A2:C5"/>
    <mergeCell ref="AK1:AM1"/>
    <mergeCell ref="P1:R1"/>
    <mergeCell ref="S1:U1"/>
    <mergeCell ref="V1:X1"/>
    <mergeCell ref="Y1:AA1"/>
    <mergeCell ref="AB1:AD1"/>
    <mergeCell ref="AE1:AG1"/>
    <mergeCell ref="AH1:AJ1"/>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06"/>
  <sheetViews>
    <sheetView zoomScale="80" zoomScaleNormal="80" workbookViewId="0">
      <pane xSplit="3" ySplit="1" topLeftCell="D2" activePane="bottomRight" state="frozen"/>
      <selection pane="topRight" activeCell="D1" sqref="D1"/>
      <selection pane="bottomLeft" activeCell="A2" sqref="A2"/>
      <selection pane="bottomRight" sqref="A1:C1"/>
    </sheetView>
  </sheetViews>
  <sheetFormatPr defaultRowHeight="12.75" x14ac:dyDescent="0.2"/>
  <cols>
    <col min="1" max="1" width="13.7109375" bestFit="1" customWidth="1"/>
    <col min="2" max="2" width="9.28515625" bestFit="1" customWidth="1"/>
    <col min="3" max="3" width="21" bestFit="1" customWidth="1"/>
    <col min="4" max="4" width="12.28515625" style="28" bestFit="1" customWidth="1"/>
    <col min="5" max="5" width="9.28515625" style="32" bestFit="1" customWidth="1"/>
    <col min="6" max="6" width="20.5703125" style="28" bestFit="1" customWidth="1"/>
    <col min="7" max="7" width="13.7109375" bestFit="1" customWidth="1"/>
    <col min="8" max="8" width="9.28515625" bestFit="1" customWidth="1"/>
    <col min="9" max="9" width="21" bestFit="1" customWidth="1"/>
    <col min="10" max="10" width="13.7109375" bestFit="1" customWidth="1"/>
    <col min="11" max="11" width="9.28515625" bestFit="1" customWidth="1"/>
    <col min="12" max="12" width="21" bestFit="1" customWidth="1"/>
    <col min="13" max="13" width="12.28515625" style="28" bestFit="1" customWidth="1"/>
    <col min="14" max="14" width="9.28515625" style="32" bestFit="1" customWidth="1"/>
    <col min="15" max="15" width="20.5703125" style="28" bestFit="1" customWidth="1"/>
    <col min="16" max="16" width="13.7109375" bestFit="1" customWidth="1"/>
    <col min="17" max="17" width="9.28515625" bestFit="1" customWidth="1"/>
    <col min="18" max="18" width="21" bestFit="1" customWidth="1"/>
    <col min="19" max="19" width="13.7109375" bestFit="1" customWidth="1"/>
    <col min="20" max="20" width="9.28515625" bestFit="1" customWidth="1"/>
    <col min="21" max="21" width="21" bestFit="1" customWidth="1"/>
    <col min="22" max="22" width="12.28515625" style="28" bestFit="1" customWidth="1"/>
    <col min="23" max="23" width="9.28515625" style="28" bestFit="1" customWidth="1"/>
    <col min="24" max="24" width="20.5703125" style="28" bestFit="1" customWidth="1"/>
    <col min="25" max="25" width="13.7109375" bestFit="1" customWidth="1"/>
    <col min="26" max="26" width="9.28515625" bestFit="1" customWidth="1"/>
    <col min="27" max="27" width="21" bestFit="1" customWidth="1"/>
    <col min="28" max="28" width="13.7109375" bestFit="1" customWidth="1"/>
    <col min="29" max="29" width="9.28515625" bestFit="1" customWidth="1"/>
    <col min="30" max="30" width="21" bestFit="1" customWidth="1"/>
    <col min="31" max="31" width="12.28515625" style="28" bestFit="1" customWidth="1"/>
    <col min="32" max="32" width="9.28515625" style="32" bestFit="1" customWidth="1"/>
    <col min="33" max="33" width="20.5703125" style="28" bestFit="1" customWidth="1"/>
    <col min="34" max="34" width="13.7109375" bestFit="1" customWidth="1"/>
    <col min="35" max="35" width="9.28515625" bestFit="1" customWidth="1"/>
    <col min="36" max="36" width="21" bestFit="1" customWidth="1"/>
    <col min="37" max="37" width="13.7109375" bestFit="1" customWidth="1"/>
    <col min="38" max="38" width="9.28515625" bestFit="1" customWidth="1"/>
    <col min="39" max="39" width="21" bestFit="1" customWidth="1"/>
  </cols>
  <sheetData>
    <row r="1" spans="1:39" ht="21.75" thickTop="1" thickBot="1" x14ac:dyDescent="0.3">
      <c r="A1" s="393" t="s">
        <v>19</v>
      </c>
      <c r="B1" s="394"/>
      <c r="C1" s="395"/>
      <c r="D1" s="414" t="s">
        <v>171</v>
      </c>
      <c r="E1" s="412"/>
      <c r="F1" s="413"/>
      <c r="G1" s="411" t="s">
        <v>187</v>
      </c>
      <c r="H1" s="412"/>
      <c r="I1" s="413"/>
      <c r="J1" s="411" t="s">
        <v>188</v>
      </c>
      <c r="K1" s="412"/>
      <c r="L1" s="413"/>
      <c r="M1" s="399" t="s">
        <v>172</v>
      </c>
      <c r="N1" s="400"/>
      <c r="O1" s="401"/>
      <c r="P1" s="399" t="s">
        <v>189</v>
      </c>
      <c r="Q1" s="400"/>
      <c r="R1" s="401"/>
      <c r="S1" s="399" t="s">
        <v>168</v>
      </c>
      <c r="T1" s="400"/>
      <c r="U1" s="401"/>
      <c r="V1" s="402" t="s">
        <v>173</v>
      </c>
      <c r="W1" s="403"/>
      <c r="X1" s="404"/>
      <c r="Y1" s="402" t="s">
        <v>190</v>
      </c>
      <c r="Z1" s="403"/>
      <c r="AA1" s="404"/>
      <c r="AB1" s="402" t="s">
        <v>169</v>
      </c>
      <c r="AC1" s="403"/>
      <c r="AD1" s="404"/>
      <c r="AE1" s="405" t="s">
        <v>174</v>
      </c>
      <c r="AF1" s="406"/>
      <c r="AG1" s="407"/>
      <c r="AH1" s="405" t="s">
        <v>191</v>
      </c>
      <c r="AI1" s="406"/>
      <c r="AJ1" s="407"/>
      <c r="AK1" s="405" t="s">
        <v>170</v>
      </c>
      <c r="AL1" s="406"/>
      <c r="AM1" s="407"/>
    </row>
    <row r="2" spans="1:39" s="1" customFormat="1" ht="15" thickTop="1" x14ac:dyDescent="0.2">
      <c r="A2" s="384" t="s">
        <v>112</v>
      </c>
      <c r="B2" s="385"/>
      <c r="C2" s="386"/>
      <c r="D2" s="318" t="s">
        <v>175</v>
      </c>
      <c r="E2" s="325">
        <f>1/((1/E17)+(1/E18)+(1/E20))</f>
        <v>7.9703877674841515E-5</v>
      </c>
      <c r="F2" s="273" t="s">
        <v>176</v>
      </c>
      <c r="G2" s="84" t="s">
        <v>82</v>
      </c>
      <c r="H2" s="232">
        <f>(H17*H18*H19)/(H20*H22*H35*H33*H34*H37*H27*(1/365)*((H32*H30)+(H36*H29))*(1/24))</f>
        <v>0.24738346155389707</v>
      </c>
      <c r="I2" s="49" t="s">
        <v>108</v>
      </c>
      <c r="J2" s="84" t="s">
        <v>82</v>
      </c>
      <c r="K2" s="232">
        <f>(K17*K18*K19)/(K20*K22*K35*K33*K34*K37*K27*(1/365)*((K32*K30)+(K36*K29))*(1/24))</f>
        <v>0.28894388309495178</v>
      </c>
      <c r="L2" s="49" t="s">
        <v>108</v>
      </c>
      <c r="M2" s="319" t="s">
        <v>175</v>
      </c>
      <c r="N2" s="327">
        <f>1/((1/N17)+(1/N18)+(1/N20))</f>
        <v>7.480133440056463E-5</v>
      </c>
      <c r="O2" s="266" t="s">
        <v>176</v>
      </c>
      <c r="P2" s="91" t="s">
        <v>82</v>
      </c>
      <c r="Q2" s="229">
        <f>(Q17*Q18*Q19)/(Q20*Q22*Q30*Q35*Q33*Q34*Q37*Q32*(1/24)*Q27*(1/365))</f>
        <v>0.35984398317629862</v>
      </c>
      <c r="R2" s="92" t="s">
        <v>108</v>
      </c>
      <c r="S2" s="91" t="s">
        <v>82</v>
      </c>
      <c r="T2" s="229">
        <f>(T17*T18*T19)/(T20*T22*T35*T33*T34*T37*T27*(1/365)*T30*T32*(1/24))</f>
        <v>0.42029777234991678</v>
      </c>
      <c r="U2" s="92" t="s">
        <v>108</v>
      </c>
      <c r="V2" s="320" t="s">
        <v>175</v>
      </c>
      <c r="W2" s="307">
        <f>1/((1/W17)+(1/W18)+(1/W20))</f>
        <v>8.3112593778405134E-5</v>
      </c>
      <c r="X2" s="278" t="s">
        <v>176</v>
      </c>
      <c r="Y2" s="75" t="s">
        <v>82</v>
      </c>
      <c r="Z2" s="223">
        <f>(Z17*Z18*Z19)/(Z20*Z22*Z30*Z35*Z33*Z34*Z37*Z32*(1/24)*Z27*(1/365))</f>
        <v>0.39982664797366513</v>
      </c>
      <c r="AA2" s="76" t="s">
        <v>108</v>
      </c>
      <c r="AB2" s="75" t="s">
        <v>82</v>
      </c>
      <c r="AC2" s="223">
        <f>(AC17*AC18*AC19)/(AC20*AC22*AC35*AC33*AC34*AC37*AC27*(1/365)*AC30*AC32*(1/24))</f>
        <v>0.46699752483324081</v>
      </c>
      <c r="AD2" s="76" t="s">
        <v>108</v>
      </c>
      <c r="AE2" s="321" t="s">
        <v>175</v>
      </c>
      <c r="AF2" s="326">
        <f>1/((1/AF17)+(1/AF18)+(1/AF20))</f>
        <v>7.466110615998542E-5</v>
      </c>
      <c r="AG2" s="269" t="s">
        <v>176</v>
      </c>
      <c r="AH2" s="175" t="s">
        <v>82</v>
      </c>
      <c r="AI2" s="226">
        <f>(AI17*AI18*AI19)/(AI20*AI22*AI30*AI35*AI33*AI34*AI37*AI32*(1/24)*AI27*(1/365))</f>
        <v>0.8996099579407465</v>
      </c>
      <c r="AJ2" s="50" t="s">
        <v>108</v>
      </c>
      <c r="AK2" s="175" t="s">
        <v>82</v>
      </c>
      <c r="AL2" s="226">
        <f>(AL17*AL18*AL19)/(AL20*AL22*AL30*AL35*AL33*AL34*AL37*AL32*(1/24)*AL27*(1/365))</f>
        <v>1.050744430874792</v>
      </c>
      <c r="AM2" s="50" t="s">
        <v>108</v>
      </c>
    </row>
    <row r="3" spans="1:39" s="1" customFormat="1" ht="15" thickBot="1" x14ac:dyDescent="0.25">
      <c r="A3" s="387"/>
      <c r="B3" s="388"/>
      <c r="C3" s="389"/>
      <c r="D3" s="272" t="s">
        <v>177</v>
      </c>
      <c r="E3" s="304">
        <f>1/((1/E17)+(1/E19)+(1/E20))</f>
        <v>6.5099724961960705E-3</v>
      </c>
      <c r="F3" s="270" t="s">
        <v>176</v>
      </c>
      <c r="G3" s="85" t="s">
        <v>83</v>
      </c>
      <c r="H3" s="233">
        <f>(H17*H18*H19)/(H20*H23*H35*H33*H34*H37*H27*(1/365)*((H32*H30)+(H36*H29))*(1/24))</f>
        <v>1.32084163674329</v>
      </c>
      <c r="I3" s="86" t="s">
        <v>110</v>
      </c>
      <c r="J3" s="85" t="s">
        <v>83</v>
      </c>
      <c r="K3" s="233">
        <f>(K17*K18*K19)/(K20*K23*K35*K33*K34*K38*K27*(1/365)*((K32*K30)+(K36*K29))*(1/24))</f>
        <v>1.5427430317161626</v>
      </c>
      <c r="L3" s="86" t="s">
        <v>110</v>
      </c>
      <c r="M3" s="265" t="s">
        <v>177</v>
      </c>
      <c r="N3" s="308">
        <f>1/((1/N17)+(1/N19)+(1/N20))</f>
        <v>6.942450106076227E-3</v>
      </c>
      <c r="O3" s="260" t="s">
        <v>176</v>
      </c>
      <c r="P3" s="93" t="s">
        <v>83</v>
      </c>
      <c r="Q3" s="230">
        <f>(Q17*Q18*Q19)/(Q20*Q23*Q30*Q35*Q33*Q34*Q37*Q32*(1/24)*Q27*(1/365))</f>
        <v>1.9212962448067894</v>
      </c>
      <c r="R3" s="94" t="s">
        <v>110</v>
      </c>
      <c r="S3" s="93" t="s">
        <v>83</v>
      </c>
      <c r="T3" s="230">
        <f>(T17*T18*T19)/(T20*T23*T30*T35*T33*T34*T37*T32*(1/24)*T27*(1/365))</f>
        <v>2.2440740139343296</v>
      </c>
      <c r="U3" s="94" t="s">
        <v>110</v>
      </c>
      <c r="V3" s="277" t="s">
        <v>177</v>
      </c>
      <c r="W3" s="306">
        <f>1/((1/W17)+(1/W19)+(1/W20))</f>
        <v>7.7138334511958062E-3</v>
      </c>
      <c r="X3" s="275" t="s">
        <v>176</v>
      </c>
      <c r="Y3" s="77" t="s">
        <v>83</v>
      </c>
      <c r="Z3" s="224">
        <f>(Z17*Z18*Z19)/(Z20*Z23*Z30*Z35*Z33*Z34*Z37*Z32*(1/24)*Z27*(1/365))</f>
        <v>2.134773605340877</v>
      </c>
      <c r="AA3" s="78" t="s">
        <v>110</v>
      </c>
      <c r="AB3" s="77" t="s">
        <v>83</v>
      </c>
      <c r="AC3" s="224">
        <f>(AC17*AC18*AC19)/(AC20*AC23*AC30*AC35*AC33*AC34*AC37*AC32*(1/24)*AC27*(1/365))</f>
        <v>2.4934155710381445</v>
      </c>
      <c r="AD3" s="78" t="s">
        <v>110</v>
      </c>
      <c r="AE3" s="268" t="s">
        <v>177</v>
      </c>
      <c r="AF3" s="309">
        <f>1/((1/AF17)+(1/AF19)+(1/AF20))</f>
        <v>5.9118950415360232E-3</v>
      </c>
      <c r="AG3" s="262" t="s">
        <v>176</v>
      </c>
      <c r="AH3" s="176" t="s">
        <v>83</v>
      </c>
      <c r="AI3" s="227">
        <f>(AI17*AI18*AI19)/(AI20*AI23*AI30*AI35*AI33*AI34*AI37*AI32*(1/24)*AI27*(1/365))</f>
        <v>4.8032406120169737</v>
      </c>
      <c r="AJ3" s="177" t="s">
        <v>110</v>
      </c>
      <c r="AK3" s="176" t="s">
        <v>83</v>
      </c>
      <c r="AL3" s="227">
        <f>(AL17*AL18*AL19)/(AL20*AL23*AL30*AL35*AL33*AL34*AL37*AL32*(1/24)*AL27*(1/365))</f>
        <v>5.6101850348358235</v>
      </c>
      <c r="AM3" s="177" t="s">
        <v>110</v>
      </c>
    </row>
    <row r="4" spans="1:39" s="1" customFormat="1" ht="14.25" x14ac:dyDescent="0.2">
      <c r="A4" s="387"/>
      <c r="B4" s="388"/>
      <c r="C4" s="389"/>
      <c r="D4" s="271" t="s">
        <v>175</v>
      </c>
      <c r="E4" s="322">
        <f>E2/E51</f>
        <v>2.9490434739691392E-6</v>
      </c>
      <c r="F4" s="273" t="s">
        <v>178</v>
      </c>
      <c r="G4" s="85" t="s">
        <v>84</v>
      </c>
      <c r="H4" s="233">
        <f>(H17*H18*H19)/(H20*H24*H35*H33*H34*H37*H27*(1/365)*((H32*H30)+(H36*H29))*(1/24))</f>
        <v>1.340193898515287</v>
      </c>
      <c r="I4" s="86" t="s">
        <v>109</v>
      </c>
      <c r="J4" s="85" t="s">
        <v>84</v>
      </c>
      <c r="K4" s="233">
        <f>(K17*K18*K19)/(K20*K24*K35*K33*K34*K39*K27*(1/365)*((K32*K30)+(K36*K29))*(1/24))</f>
        <v>1.5653464734658551</v>
      </c>
      <c r="L4" s="86" t="s">
        <v>109</v>
      </c>
      <c r="M4" s="264" t="s">
        <v>175</v>
      </c>
      <c r="N4" s="324">
        <f>N2/N41</f>
        <v>2.7676493728208943E-6</v>
      </c>
      <c r="O4" s="266" t="s">
        <v>178</v>
      </c>
      <c r="P4" s="93" t="s">
        <v>84</v>
      </c>
      <c r="Q4" s="230">
        <f>(Q17*Q18*Q19)/(Q20*Q24*Q30*Q35*Q33*Q34*Q37*Q32*(1/24)*Q27*(1/365))</f>
        <v>1.9494460447803363</v>
      </c>
      <c r="R4" s="94" t="s">
        <v>109</v>
      </c>
      <c r="S4" s="93" t="s">
        <v>84</v>
      </c>
      <c r="T4" s="230">
        <f>(T17*T18*T19)/(T20*T24*T30*T35*T33*T34*T37*T32*(1/24)*T27*(1/365))</f>
        <v>2.2769529803034327</v>
      </c>
      <c r="U4" s="94" t="s">
        <v>109</v>
      </c>
      <c r="V4" s="276" t="s">
        <v>175</v>
      </c>
      <c r="W4" s="305">
        <f>W2/W41</f>
        <v>3.0751659698009932E-6</v>
      </c>
      <c r="X4" s="278" t="s">
        <v>178</v>
      </c>
      <c r="Y4" s="77" t="s">
        <v>84</v>
      </c>
      <c r="Z4" s="224">
        <f>(Z17*Z18*Z19)/(Z20*Z24*Z30*Z35*Z33*Z34*Z37*Z32*(1/24)*Z27*(1/365))</f>
        <v>2.1660511608670405</v>
      </c>
      <c r="AA4" s="78" t="s">
        <v>109</v>
      </c>
      <c r="AB4" s="77" t="s">
        <v>84</v>
      </c>
      <c r="AC4" s="224">
        <f>(AC17*AC18*AC19)/(AC20*AC24*AC30*AC35*AC33*AC34*AC37*AC32*(1/24)*AC27*(1/365))</f>
        <v>2.5299477558927026</v>
      </c>
      <c r="AD4" s="78" t="s">
        <v>109</v>
      </c>
      <c r="AE4" s="267" t="s">
        <v>175</v>
      </c>
      <c r="AF4" s="323">
        <f>AF2/AF41</f>
        <v>2.7624609279194632E-6</v>
      </c>
      <c r="AG4" s="269" t="s">
        <v>178</v>
      </c>
      <c r="AH4" s="176" t="s">
        <v>84</v>
      </c>
      <c r="AI4" s="227">
        <f>(AI17*AI18*AI19)/(AI20*AI24*AI30*AI35*AI33*AI34*AI37*AI32*(1/24)*AI27*(1/365))</f>
        <v>4.8736151119508406</v>
      </c>
      <c r="AJ4" s="177" t="s">
        <v>109</v>
      </c>
      <c r="AK4" s="176" t="s">
        <v>84</v>
      </c>
      <c r="AL4" s="227">
        <f>(AL17*AL18*AL19)/(AL20*AL24*AL30*AL35*AL33*AL34*AL37*AL32*(1/24)*AL27*(1/365))</f>
        <v>5.692382450758581</v>
      </c>
      <c r="AM4" s="177" t="s">
        <v>109</v>
      </c>
    </row>
    <row r="5" spans="1:39" s="1" customFormat="1" ht="15" thickBot="1" x14ac:dyDescent="0.25">
      <c r="A5" s="390"/>
      <c r="B5" s="391"/>
      <c r="C5" s="392"/>
      <c r="D5" s="272" t="s">
        <v>177</v>
      </c>
      <c r="E5" s="304">
        <f>E3/E51</f>
        <v>2.4086898235925485E-4</v>
      </c>
      <c r="F5" s="274" t="s">
        <v>178</v>
      </c>
      <c r="G5" s="85" t="s">
        <v>85</v>
      </c>
      <c r="H5" s="233">
        <f>(H17*H18*H19)/(H20*H25*H35*H33*H34*H37*H27*(1/365)*((H32*H30)+(H36*H29))*(1/24))</f>
        <v>0.4663512552266032</v>
      </c>
      <c r="I5" s="86" t="s">
        <v>109</v>
      </c>
      <c r="J5" s="85" t="s">
        <v>85</v>
      </c>
      <c r="K5" s="233">
        <f>(K17*K18*K19)/(K20*K25*K35*K33*K34*K40*K27*(1/365)*((K32*K30)+(K36*K29))*(1/24))</f>
        <v>0.54469826610467231</v>
      </c>
      <c r="L5" s="86" t="s">
        <v>109</v>
      </c>
      <c r="M5" s="265" t="s">
        <v>177</v>
      </c>
      <c r="N5" s="308">
        <f>N3/N41</f>
        <v>2.5687065392482068E-4</v>
      </c>
      <c r="O5" s="261" t="s">
        <v>178</v>
      </c>
      <c r="P5" s="93" t="s">
        <v>85</v>
      </c>
      <c r="Q5" s="230">
        <f>(Q17*Q18*Q19)/(Q20*Q25*Q30*Q35*Q33*Q34*Q37*Q32*(1/24)*Q27*(1/365))</f>
        <v>0.67835453585261685</v>
      </c>
      <c r="R5" s="94" t="s">
        <v>109</v>
      </c>
      <c r="S5" s="93" t="s">
        <v>85</v>
      </c>
      <c r="T5" s="230">
        <f>(T17*T18*T19)/(T20*T25*T30*T35*T33*T34*T37*T32*(1/24)*T27*(1/365))</f>
        <v>0.79231809787585639</v>
      </c>
      <c r="U5" s="94" t="s">
        <v>109</v>
      </c>
      <c r="V5" s="277" t="s">
        <v>177</v>
      </c>
      <c r="W5" s="306">
        <f>W3/W41</f>
        <v>2.8541183769424514E-4</v>
      </c>
      <c r="X5" s="279" t="s">
        <v>178</v>
      </c>
      <c r="Y5" s="77" t="s">
        <v>85</v>
      </c>
      <c r="Z5" s="224">
        <f>(Z17*Z18*Z19)/(Z20*Z25*Z30*Z35*Z33*Z34*Z37*Z32*(1/24)*Z27*(1/365))</f>
        <v>0.7537272620584633</v>
      </c>
      <c r="AA5" s="78" t="s">
        <v>109</v>
      </c>
      <c r="AB5" s="77" t="s">
        <v>85</v>
      </c>
      <c r="AC5" s="224">
        <f>(AC17*AC18*AC19)/(AC20*AC25*AC30*AC35*AC33*AC34*AC37*AC32*(1/24)*AC27*(1/365))</f>
        <v>0.88035344208428501</v>
      </c>
      <c r="AD5" s="78" t="s">
        <v>109</v>
      </c>
      <c r="AE5" s="268" t="s">
        <v>177</v>
      </c>
      <c r="AF5" s="309">
        <f>AF3/AF41</f>
        <v>2.1874011653683309E-4</v>
      </c>
      <c r="AG5" s="263" t="s">
        <v>178</v>
      </c>
      <c r="AH5" s="176" t="s">
        <v>85</v>
      </c>
      <c r="AI5" s="227">
        <f>(AI17*AI18*AI19)/(AI20*AI25*AI30*AI35*AI33*AI34*AI37*AI32*(1/24)*AI27*(1/365))</f>
        <v>1.6958863396315422</v>
      </c>
      <c r="AJ5" s="177" t="s">
        <v>109</v>
      </c>
      <c r="AK5" s="176" t="s">
        <v>85</v>
      </c>
      <c r="AL5" s="227">
        <f>(AL17*AL18*AL19)/(AL20*AL25*AL30*AL35*AL33*AL34*AL37*AL32*(1/24)*AL27*(1/365))</f>
        <v>1.9807952446896413</v>
      </c>
      <c r="AM5" s="177" t="s">
        <v>109</v>
      </c>
    </row>
    <row r="6" spans="1:39" s="1" customFormat="1" ht="15.75" thickTop="1" thickBot="1" x14ac:dyDescent="0.25">
      <c r="A6" s="28" t="s">
        <v>21</v>
      </c>
      <c r="B6" s="190">
        <v>1</v>
      </c>
      <c r="C6" s="28" t="s">
        <v>138</v>
      </c>
      <c r="D6" s="271" t="s">
        <v>175</v>
      </c>
      <c r="E6" s="322">
        <f>E2*E13*E50*E52</f>
        <v>8.0707654945532263E-14</v>
      </c>
      <c r="F6" s="273" t="s">
        <v>179</v>
      </c>
      <c r="G6" s="87" t="s">
        <v>86</v>
      </c>
      <c r="H6" s="234">
        <f>(H17*H18*H19)/(H20*H26*H35*H33*H34*H37*H27*(1/365)*((H32*H30)+(H36*H29))*(1/24))</f>
        <v>0.29183926331305404</v>
      </c>
      <c r="I6" s="48" t="s">
        <v>109</v>
      </c>
      <c r="J6" s="87" t="s">
        <v>86</v>
      </c>
      <c r="K6" s="234">
        <f>(K17*K18*K19)/(K20*K26*K35*K33*K34*K41*K27*(1/365)*((K32*K30)+(K36*K29))*(1/24))</f>
        <v>0.34086825954964706</v>
      </c>
      <c r="L6" s="48" t="s">
        <v>109</v>
      </c>
      <c r="M6" s="264" t="s">
        <v>175</v>
      </c>
      <c r="N6" s="324">
        <f>N2*N13*N40*N42</f>
        <v>7.5743369863317605E-14</v>
      </c>
      <c r="O6" s="266" t="s">
        <v>179</v>
      </c>
      <c r="P6" s="95" t="s">
        <v>86</v>
      </c>
      <c r="Q6" s="231">
        <f>(Q17*Q18*Q19)/(Q20*Q26*Q30*Q35*Q33*Q34*Q37*Q32*(1/24)*Q27*(1/365))</f>
        <v>0.42450939241516839</v>
      </c>
      <c r="R6" s="96" t="s">
        <v>109</v>
      </c>
      <c r="S6" s="95" t="s">
        <v>86</v>
      </c>
      <c r="T6" s="231">
        <f>(T17*T18*T19)/(T20*T26*T30*T35*T33*T34*T37*T32*(1/24)*T27*(1/365))</f>
        <v>0.49582697034091655</v>
      </c>
      <c r="U6" s="96" t="s">
        <v>109</v>
      </c>
      <c r="V6" s="276" t="s">
        <v>175</v>
      </c>
      <c r="W6" s="305">
        <f>W2*W13*W40*W42</f>
        <v>8.4159299848130648E-14</v>
      </c>
      <c r="X6" s="278" t="s">
        <v>179</v>
      </c>
      <c r="Y6" s="79" t="s">
        <v>86</v>
      </c>
      <c r="Z6" s="225">
        <f>(Z17*Z18*Z19)/(Z20*Z26*Z30*Z35*Z33*Z34*Z37*Z32*(1/24)*Z27*(1/365))</f>
        <v>0.47167710268352048</v>
      </c>
      <c r="AA6" s="80" t="s">
        <v>109</v>
      </c>
      <c r="AB6" s="79" t="s">
        <v>86</v>
      </c>
      <c r="AC6" s="225">
        <f>(AC17*AC18*AC19)/(AC20*AC26*AC30*AC35*AC33*AC34*AC37*AC32*(1/24)*AC27*(1/365))</f>
        <v>0.55091885593435186</v>
      </c>
      <c r="AD6" s="80" t="s">
        <v>109</v>
      </c>
      <c r="AE6" s="267" t="s">
        <v>175</v>
      </c>
      <c r="AF6" s="323">
        <f>AF2*AF13*AF40*AF42</f>
        <v>7.5601375611789993E-14</v>
      </c>
      <c r="AG6" s="269" t="s">
        <v>179</v>
      </c>
      <c r="AH6" s="178" t="s">
        <v>86</v>
      </c>
      <c r="AI6" s="228">
        <f>(AI17*AI18*AI19)/(AI20*AI26*AI30*AI35*AI33*AI34*AI37*AI32*(1/24)*AI27*(1/365))</f>
        <v>1.061273481037921</v>
      </c>
      <c r="AJ6" s="179" t="s">
        <v>109</v>
      </c>
      <c r="AK6" s="178" t="s">
        <v>86</v>
      </c>
      <c r="AL6" s="228">
        <f>(AL17*AL18*AL19)/(AL20*AL26*AL30*AL35*AL33*AL34*AL37*AL32*(1/24)*AL27*(1/365))</f>
        <v>1.2395674258522913</v>
      </c>
      <c r="AM6" s="179" t="s">
        <v>109</v>
      </c>
    </row>
    <row r="7" spans="1:39" s="1" customFormat="1" ht="15" thickBot="1" x14ac:dyDescent="0.25">
      <c r="A7" s="38" t="s">
        <v>22</v>
      </c>
      <c r="B7" s="333">
        <v>3.8043873993229303E-2</v>
      </c>
      <c r="C7" s="40" t="s">
        <v>11</v>
      </c>
      <c r="D7" s="272" t="s">
        <v>177</v>
      </c>
      <c r="E7" s="304">
        <f>E3*E13*E50*E52</f>
        <v>6.5919579982209754E-12</v>
      </c>
      <c r="F7" s="274" t="s">
        <v>179</v>
      </c>
      <c r="G7" s="84" t="s">
        <v>82</v>
      </c>
      <c r="H7" s="232">
        <f>H2/H42</f>
        <v>9.1531880774941999E-3</v>
      </c>
      <c r="I7" s="49" t="s">
        <v>105</v>
      </c>
      <c r="J7" s="84" t="s">
        <v>82</v>
      </c>
      <c r="K7" s="232">
        <f>K2/K42</f>
        <v>1.0690923674513226E-2</v>
      </c>
      <c r="L7" s="49" t="s">
        <v>105</v>
      </c>
      <c r="M7" s="265" t="s">
        <v>177</v>
      </c>
      <c r="N7" s="308">
        <f>N3*N13*N40*N42</f>
        <v>7.0298821586021173E-12</v>
      </c>
      <c r="O7" s="261" t="s">
        <v>179</v>
      </c>
      <c r="P7" s="91" t="s">
        <v>82</v>
      </c>
      <c r="Q7" s="229">
        <f>Q2/Q42</f>
        <v>1.3314227377523063E-2</v>
      </c>
      <c r="R7" s="92" t="s">
        <v>105</v>
      </c>
      <c r="S7" s="91" t="s">
        <v>82</v>
      </c>
      <c r="T7" s="229">
        <f>T2/T42</f>
        <v>1.5551017576946937E-2</v>
      </c>
      <c r="U7" s="92" t="s">
        <v>105</v>
      </c>
      <c r="V7" s="277" t="s">
        <v>177</v>
      </c>
      <c r="W7" s="306">
        <f>W3*W13*W40*W42</f>
        <v>7.8109801762245726E-12</v>
      </c>
      <c r="X7" s="279" t="s">
        <v>179</v>
      </c>
      <c r="Y7" s="75" t="s">
        <v>82</v>
      </c>
      <c r="Z7" s="223">
        <f>Z2/Z42</f>
        <v>1.4793585975025624E-2</v>
      </c>
      <c r="AA7" s="76" t="s">
        <v>105</v>
      </c>
      <c r="AB7" s="75" t="s">
        <v>82</v>
      </c>
      <c r="AC7" s="223">
        <f>AC2/AC42</f>
        <v>1.7278908418829928E-2</v>
      </c>
      <c r="AD7" s="76" t="s">
        <v>105</v>
      </c>
      <c r="AE7" s="268" t="s">
        <v>177</v>
      </c>
      <c r="AF7" s="309">
        <f>AF3*AF13*AF40*AF42</f>
        <v>5.9863484563825674E-12</v>
      </c>
      <c r="AG7" s="263" t="s">
        <v>179</v>
      </c>
      <c r="AH7" s="175" t="s">
        <v>82</v>
      </c>
      <c r="AI7" s="226">
        <f>AI2/AI42</f>
        <v>3.3285568443807652E-2</v>
      </c>
      <c r="AJ7" s="50" t="s">
        <v>105</v>
      </c>
      <c r="AK7" s="175" t="s">
        <v>82</v>
      </c>
      <c r="AL7" s="226">
        <f>AL2/AL42</f>
        <v>3.8877543942367344E-2</v>
      </c>
      <c r="AM7" s="50" t="s">
        <v>105</v>
      </c>
    </row>
    <row r="8" spans="1:39" s="1" customFormat="1" ht="14.25" x14ac:dyDescent="0.2">
      <c r="A8" s="38" t="s">
        <v>209</v>
      </c>
      <c r="B8" s="333">
        <v>1.67911012348351E-3</v>
      </c>
      <c r="C8" s="38" t="s">
        <v>11</v>
      </c>
      <c r="D8" s="28" t="s">
        <v>21</v>
      </c>
      <c r="E8" s="32">
        <f>B6</f>
        <v>1</v>
      </c>
      <c r="F8" s="28" t="s">
        <v>138</v>
      </c>
      <c r="G8" s="85" t="s">
        <v>83</v>
      </c>
      <c r="H8" s="233">
        <f>H3/H42</f>
        <v>4.8871140559501779E-2</v>
      </c>
      <c r="I8" s="86" t="s">
        <v>106</v>
      </c>
      <c r="J8" s="85" t="s">
        <v>83</v>
      </c>
      <c r="K8" s="233">
        <f>K3/K42</f>
        <v>5.7081492173498075E-2</v>
      </c>
      <c r="L8" s="86" t="s">
        <v>106</v>
      </c>
      <c r="M8" s="28" t="s">
        <v>21</v>
      </c>
      <c r="N8" s="32">
        <f>B6</f>
        <v>1</v>
      </c>
      <c r="O8" s="28" t="s">
        <v>138</v>
      </c>
      <c r="P8" s="93" t="s">
        <v>83</v>
      </c>
      <c r="Q8" s="230">
        <f>Q3/Q42</f>
        <v>7.1087961057851284E-2</v>
      </c>
      <c r="R8" s="94" t="s">
        <v>106</v>
      </c>
      <c r="S8" s="93" t="s">
        <v>83</v>
      </c>
      <c r="T8" s="230">
        <f>T3/T42</f>
        <v>8.3030738515570274E-2</v>
      </c>
      <c r="U8" s="94" t="s">
        <v>106</v>
      </c>
      <c r="V8" s="28" t="s">
        <v>21</v>
      </c>
      <c r="W8" s="32">
        <f>B6</f>
        <v>1</v>
      </c>
      <c r="X8" s="28" t="s">
        <v>138</v>
      </c>
      <c r="Y8" s="77" t="s">
        <v>83</v>
      </c>
      <c r="Z8" s="224">
        <f>Z3/Z42</f>
        <v>7.8986623397612532E-2</v>
      </c>
      <c r="AA8" s="78" t="s">
        <v>106</v>
      </c>
      <c r="AB8" s="77" t="s">
        <v>83</v>
      </c>
      <c r="AC8" s="224">
        <f>AC3/AC42</f>
        <v>9.2256376128411435E-2</v>
      </c>
      <c r="AD8" s="78" t="s">
        <v>106</v>
      </c>
      <c r="AE8" s="28" t="s">
        <v>21</v>
      </c>
      <c r="AF8" s="32">
        <f>B6</f>
        <v>1</v>
      </c>
      <c r="AG8" s="28" t="s">
        <v>138</v>
      </c>
      <c r="AH8" s="176" t="s">
        <v>83</v>
      </c>
      <c r="AI8" s="227">
        <f>AI3/AI42</f>
        <v>0.1777199026446282</v>
      </c>
      <c r="AJ8" s="177" t="s">
        <v>106</v>
      </c>
      <c r="AK8" s="176" t="s">
        <v>83</v>
      </c>
      <c r="AL8" s="227">
        <f>AL3/AL42</f>
        <v>0.20757684628892567</v>
      </c>
      <c r="AM8" s="177" t="s">
        <v>106</v>
      </c>
    </row>
    <row r="9" spans="1:39" s="1" customFormat="1" ht="19.5" x14ac:dyDescent="0.35">
      <c r="A9" s="38" t="s">
        <v>210</v>
      </c>
      <c r="B9" s="333">
        <v>1.036E-3</v>
      </c>
      <c r="C9" s="38" t="s">
        <v>11</v>
      </c>
      <c r="D9" s="54" t="s">
        <v>206</v>
      </c>
      <c r="E9" s="32">
        <f>E38</f>
        <v>1</v>
      </c>
      <c r="F9" s="28"/>
      <c r="G9" s="85" t="s">
        <v>84</v>
      </c>
      <c r="H9" s="233">
        <f>H4/H42</f>
        <v>4.9587174245065667E-2</v>
      </c>
      <c r="I9" s="86" t="s">
        <v>105</v>
      </c>
      <c r="J9" s="85" t="s">
        <v>84</v>
      </c>
      <c r="K9" s="233">
        <f>K4/K42</f>
        <v>5.7917819518236699E-2</v>
      </c>
      <c r="L9" s="86" t="s">
        <v>105</v>
      </c>
      <c r="M9" s="54" t="s">
        <v>207</v>
      </c>
      <c r="N9" s="32">
        <f>N30</f>
        <v>1</v>
      </c>
      <c r="O9" s="28"/>
      <c r="P9" s="93" t="s">
        <v>84</v>
      </c>
      <c r="Q9" s="230">
        <f>Q4/Q42</f>
        <v>7.2129503656872512E-2</v>
      </c>
      <c r="R9" s="94" t="s">
        <v>105</v>
      </c>
      <c r="S9" s="93" t="s">
        <v>84</v>
      </c>
      <c r="T9" s="230">
        <f>T4/T42</f>
        <v>8.4247260271227101E-2</v>
      </c>
      <c r="U9" s="94" t="s">
        <v>105</v>
      </c>
      <c r="V9" s="54" t="s">
        <v>208</v>
      </c>
      <c r="W9" s="32">
        <f>W30</f>
        <v>1</v>
      </c>
      <c r="X9" s="28"/>
      <c r="Y9" s="77" t="s">
        <v>84</v>
      </c>
      <c r="Z9" s="224">
        <f>Z4/Z42</f>
        <v>8.0143892952080575E-2</v>
      </c>
      <c r="AA9" s="78" t="s">
        <v>105</v>
      </c>
      <c r="AB9" s="77" t="s">
        <v>84</v>
      </c>
      <c r="AC9" s="224">
        <f>AC4/AC42</f>
        <v>9.360806696803009E-2</v>
      </c>
      <c r="AD9" s="78" t="s">
        <v>105</v>
      </c>
      <c r="AE9" s="54" t="s">
        <v>140</v>
      </c>
      <c r="AF9" s="32">
        <f>AF30</f>
        <v>1</v>
      </c>
      <c r="AG9" s="28"/>
      <c r="AH9" s="176" t="s">
        <v>84</v>
      </c>
      <c r="AI9" s="227">
        <f>AI4/AI42</f>
        <v>0.18032375914218129</v>
      </c>
      <c r="AJ9" s="177" t="s">
        <v>105</v>
      </c>
      <c r="AK9" s="176" t="s">
        <v>84</v>
      </c>
      <c r="AL9" s="227">
        <f>AL4/AL42</f>
        <v>0.21061815067806772</v>
      </c>
      <c r="AM9" s="177" t="s">
        <v>105</v>
      </c>
    </row>
    <row r="10" spans="1:39" s="1" customFormat="1" ht="14.25" x14ac:dyDescent="0.2">
      <c r="A10" s="57" t="s">
        <v>113</v>
      </c>
      <c r="B10" s="333">
        <v>10.423439999999999</v>
      </c>
      <c r="C10" s="38" t="s">
        <v>198</v>
      </c>
      <c r="D10" s="54" t="s">
        <v>65</v>
      </c>
      <c r="E10" s="32">
        <f>B33</f>
        <v>0</v>
      </c>
      <c r="F10" s="28"/>
      <c r="G10" s="85" t="s">
        <v>85</v>
      </c>
      <c r="H10" s="233">
        <f>H5/H42</f>
        <v>1.7254996443384334E-2</v>
      </c>
      <c r="I10" s="86" t="s">
        <v>105</v>
      </c>
      <c r="J10" s="85" t="s">
        <v>85</v>
      </c>
      <c r="K10" s="233">
        <f>K5/K42</f>
        <v>2.0153835845872894E-2</v>
      </c>
      <c r="L10" s="86" t="s">
        <v>105</v>
      </c>
      <c r="M10" s="54" t="s">
        <v>65</v>
      </c>
      <c r="N10" s="32">
        <f>B33</f>
        <v>0</v>
      </c>
      <c r="O10" s="28"/>
      <c r="P10" s="93" t="s">
        <v>85</v>
      </c>
      <c r="Q10" s="230">
        <f>Q5/Q42</f>
        <v>2.5099117826546849E-2</v>
      </c>
      <c r="R10" s="94" t="s">
        <v>105</v>
      </c>
      <c r="S10" s="93" t="s">
        <v>85</v>
      </c>
      <c r="T10" s="230">
        <f>T5/T42</f>
        <v>2.9315769621406716E-2</v>
      </c>
      <c r="U10" s="94" t="s">
        <v>105</v>
      </c>
      <c r="V10" s="54" t="s">
        <v>65</v>
      </c>
      <c r="W10" s="32">
        <f>B33</f>
        <v>0</v>
      </c>
      <c r="X10" s="28"/>
      <c r="Y10" s="77" t="s">
        <v>85</v>
      </c>
      <c r="Z10" s="224">
        <f>Z5/Z42</f>
        <v>2.7887908696163172E-2</v>
      </c>
      <c r="AA10" s="78" t="s">
        <v>105</v>
      </c>
      <c r="AB10" s="77" t="s">
        <v>85</v>
      </c>
      <c r="AC10" s="224">
        <f>AC5/AC42</f>
        <v>3.2573077357118577E-2</v>
      </c>
      <c r="AD10" s="78" t="s">
        <v>105</v>
      </c>
      <c r="AE10" s="54" t="s">
        <v>65</v>
      </c>
      <c r="AF10" s="32">
        <f>B33</f>
        <v>0</v>
      </c>
      <c r="AG10" s="28"/>
      <c r="AH10" s="176" t="s">
        <v>85</v>
      </c>
      <c r="AI10" s="227">
        <f>AI5/AI42</f>
        <v>6.2747794566367129E-2</v>
      </c>
      <c r="AJ10" s="177" t="s">
        <v>105</v>
      </c>
      <c r="AK10" s="176" t="s">
        <v>85</v>
      </c>
      <c r="AL10" s="227">
        <f>AL5/AL42</f>
        <v>7.3289424053516808E-2</v>
      </c>
      <c r="AM10" s="177" t="s">
        <v>105</v>
      </c>
    </row>
    <row r="11" spans="1:39" s="1" customFormat="1" ht="15" thickBot="1" x14ac:dyDescent="0.25">
      <c r="A11" s="57" t="s">
        <v>23</v>
      </c>
      <c r="B11" s="333">
        <v>1.9522299999999999</v>
      </c>
      <c r="C11" s="38" t="s">
        <v>199</v>
      </c>
      <c r="D11" s="54" t="s">
        <v>1</v>
      </c>
      <c r="E11" s="51">
        <f>0.693/E13</f>
        <v>4.3312499999999997E-4</v>
      </c>
      <c r="F11" s="54"/>
      <c r="G11" s="87" t="s">
        <v>86</v>
      </c>
      <c r="H11" s="234">
        <f>H6/H42</f>
        <v>1.079805274258301E-2</v>
      </c>
      <c r="I11" s="86" t="s">
        <v>105</v>
      </c>
      <c r="J11" s="87" t="s">
        <v>86</v>
      </c>
      <c r="K11" s="234">
        <f>K6/K42</f>
        <v>1.2612125603336953E-2</v>
      </c>
      <c r="L11" s="86" t="s">
        <v>105</v>
      </c>
      <c r="M11" s="54" t="s">
        <v>1</v>
      </c>
      <c r="N11" s="51">
        <f>0.693/N13</f>
        <v>4.3312499999999997E-4</v>
      </c>
      <c r="O11" s="28"/>
      <c r="P11" s="95" t="s">
        <v>86</v>
      </c>
      <c r="Q11" s="231">
        <f>Q6/Q42</f>
        <v>1.5706847519361244E-2</v>
      </c>
      <c r="R11" s="94" t="s">
        <v>105</v>
      </c>
      <c r="S11" s="95" t="s">
        <v>86</v>
      </c>
      <c r="T11" s="231">
        <f>T6/T42</f>
        <v>1.834559790261393E-2</v>
      </c>
      <c r="U11" s="94" t="s">
        <v>105</v>
      </c>
      <c r="V11" s="54" t="s">
        <v>1</v>
      </c>
      <c r="W11" s="51">
        <f>0.693/W13</f>
        <v>4.3312499999999997E-4</v>
      </c>
      <c r="X11" s="54"/>
      <c r="Y11" s="79" t="s">
        <v>86</v>
      </c>
      <c r="Z11" s="225">
        <f>Z6/Z42</f>
        <v>1.7452052799290275E-2</v>
      </c>
      <c r="AA11" s="78" t="s">
        <v>105</v>
      </c>
      <c r="AB11" s="79" t="s">
        <v>86</v>
      </c>
      <c r="AC11" s="225">
        <f>AC6/AC42</f>
        <v>2.0383997669571038E-2</v>
      </c>
      <c r="AD11" s="78" t="s">
        <v>105</v>
      </c>
      <c r="AE11" s="54" t="s">
        <v>1</v>
      </c>
      <c r="AF11" s="51">
        <f>0.693/AF13</f>
        <v>4.3312499999999997E-4</v>
      </c>
      <c r="AG11" s="54"/>
      <c r="AH11" s="178" t="s">
        <v>86</v>
      </c>
      <c r="AI11" s="228">
        <f>AI6/AI42</f>
        <v>3.9267118798403118E-2</v>
      </c>
      <c r="AJ11" s="177" t="s">
        <v>105</v>
      </c>
      <c r="AK11" s="178" t="s">
        <v>86</v>
      </c>
      <c r="AL11" s="228">
        <f>AL6/AL42</f>
        <v>4.5863994756534826E-2</v>
      </c>
      <c r="AM11" s="177" t="s">
        <v>105</v>
      </c>
    </row>
    <row r="12" spans="1:39" s="1" customFormat="1" ht="14.25" x14ac:dyDescent="0.2">
      <c r="A12" s="57" t="s">
        <v>114</v>
      </c>
      <c r="B12" s="333">
        <v>1.92404</v>
      </c>
      <c r="C12" s="38" t="s">
        <v>198</v>
      </c>
      <c r="D12" s="28" t="s">
        <v>126</v>
      </c>
      <c r="E12" s="51">
        <f>(1-EXP(-E11*E9))</f>
        <v>4.3303121490789742E-4</v>
      </c>
      <c r="F12" s="28"/>
      <c r="G12" s="84" t="s">
        <v>82</v>
      </c>
      <c r="H12" s="232">
        <f>H2*H21*H43*H44</f>
        <v>2.50498967387448E-7</v>
      </c>
      <c r="I12" s="88" t="s">
        <v>107</v>
      </c>
      <c r="J12" s="84" t="s">
        <v>82</v>
      </c>
      <c r="K12" s="232">
        <f>K2*K21*K43*K44</f>
        <v>2.9258279390853925E-7</v>
      </c>
      <c r="L12" s="88" t="s">
        <v>107</v>
      </c>
      <c r="M12" s="28" t="s">
        <v>126</v>
      </c>
      <c r="N12" s="51">
        <f>(1-EXP(-N11*N9))</f>
        <v>4.3303121490789742E-4</v>
      </c>
      <c r="O12" s="28"/>
      <c r="P12" s="91" t="s">
        <v>82</v>
      </c>
      <c r="Q12" s="229">
        <f>Q2*Q21*Q43*Q44</f>
        <v>3.6437579796178181E-7</v>
      </c>
      <c r="R12" s="97" t="s">
        <v>107</v>
      </c>
      <c r="S12" s="91" t="s">
        <v>82</v>
      </c>
      <c r="T12" s="229">
        <f>T2*T21*T43*T44</f>
        <v>4.2559093201936109E-7</v>
      </c>
      <c r="U12" s="97" t="s">
        <v>107</v>
      </c>
      <c r="V12" s="28" t="s">
        <v>126</v>
      </c>
      <c r="W12" s="51">
        <f>(1-EXP(-W11*W9))</f>
        <v>4.3303121490789742E-4</v>
      </c>
      <c r="X12" s="28"/>
      <c r="Y12" s="75" t="s">
        <v>82</v>
      </c>
      <c r="Z12" s="223">
        <f>Z2*Z21*Z43*Z44</f>
        <v>4.0486199773531304E-7</v>
      </c>
      <c r="AA12" s="81" t="s">
        <v>107</v>
      </c>
      <c r="AB12" s="75" t="s">
        <v>82</v>
      </c>
      <c r="AC12" s="223">
        <f>AC2*AC21*AC43*AC44</f>
        <v>4.7287881335484563E-7</v>
      </c>
      <c r="AD12" s="81" t="s">
        <v>107</v>
      </c>
      <c r="AE12" s="28" t="s">
        <v>126</v>
      </c>
      <c r="AF12" s="51">
        <f>(1-EXP(-AF11*AF9))</f>
        <v>4.3303121490789742E-4</v>
      </c>
      <c r="AG12" s="28"/>
      <c r="AH12" s="175" t="s">
        <v>82</v>
      </c>
      <c r="AI12" s="226">
        <f>AI2*AI21*AI43*AI44</f>
        <v>9.1093949490445442E-7</v>
      </c>
      <c r="AJ12" s="180" t="s">
        <v>107</v>
      </c>
      <c r="AK12" s="175" t="s">
        <v>82</v>
      </c>
      <c r="AL12" s="226">
        <f>AL2*AL21*AL43*AL44</f>
        <v>1.0639773300484027E-6</v>
      </c>
      <c r="AM12" s="180" t="s">
        <v>107</v>
      </c>
    </row>
    <row r="13" spans="1:39" s="1" customFormat="1" ht="14.25" x14ac:dyDescent="0.2">
      <c r="A13" s="57" t="s">
        <v>115</v>
      </c>
      <c r="B13" s="333">
        <v>5.52928</v>
      </c>
      <c r="C13" s="38" t="s">
        <v>198</v>
      </c>
      <c r="D13" s="33" t="s">
        <v>9</v>
      </c>
      <c r="E13" s="53">
        <f>B16</f>
        <v>1600</v>
      </c>
      <c r="F13" s="54" t="s">
        <v>10</v>
      </c>
      <c r="G13" s="85" t="s">
        <v>83</v>
      </c>
      <c r="H13" s="233">
        <f>H3*H21*H43*H45</f>
        <v>1.3374760948377093E-9</v>
      </c>
      <c r="I13" s="86" t="s">
        <v>110</v>
      </c>
      <c r="J13" s="85" t="s">
        <v>83</v>
      </c>
      <c r="K13" s="233">
        <f>K3*K21*K43*K45</f>
        <v>1.5621720787704446E-9</v>
      </c>
      <c r="L13" s="86" t="s">
        <v>110</v>
      </c>
      <c r="M13" s="33" t="s">
        <v>9</v>
      </c>
      <c r="N13" s="53">
        <f>B16</f>
        <v>1600</v>
      </c>
      <c r="O13" s="28"/>
      <c r="P13" s="93" t="s">
        <v>83</v>
      </c>
      <c r="Q13" s="230">
        <f>Q3*Q21*Q43*Q45</f>
        <v>1.9454927275509317E-9</v>
      </c>
      <c r="R13" s="94" t="s">
        <v>110</v>
      </c>
      <c r="S13" s="93" t="s">
        <v>83</v>
      </c>
      <c r="T13" s="230">
        <f>T3*T21*T43*T45</f>
        <v>2.272335505779488E-9</v>
      </c>
      <c r="U13" s="94" t="s">
        <v>110</v>
      </c>
      <c r="V13" s="33" t="s">
        <v>9</v>
      </c>
      <c r="W13" s="53">
        <f>B16</f>
        <v>1600</v>
      </c>
      <c r="X13" s="54"/>
      <c r="Y13" s="77" t="s">
        <v>83</v>
      </c>
      <c r="Z13" s="224">
        <f>Z3*Z21*Z43*Z45</f>
        <v>2.1616585861677019E-9</v>
      </c>
      <c r="AA13" s="78" t="s">
        <v>110</v>
      </c>
      <c r="AB13" s="77" t="s">
        <v>83</v>
      </c>
      <c r="AC13" s="224">
        <f>AC3*AC21*AC43*AC45</f>
        <v>2.5248172286438757E-9</v>
      </c>
      <c r="AD13" s="78" t="s">
        <v>110</v>
      </c>
      <c r="AE13" s="33" t="s">
        <v>9</v>
      </c>
      <c r="AF13" s="53">
        <f>B16</f>
        <v>1600</v>
      </c>
      <c r="AG13" s="54"/>
      <c r="AH13" s="176" t="s">
        <v>83</v>
      </c>
      <c r="AI13" s="227">
        <f>AI3*AI21*AI43*AI45</f>
        <v>4.8637318188773297E-9</v>
      </c>
      <c r="AJ13" s="177" t="s">
        <v>110</v>
      </c>
      <c r="AK13" s="176" t="s">
        <v>83</v>
      </c>
      <c r="AL13" s="227">
        <f>AL3*AL21*AL43*AL45</f>
        <v>5.680838764448719E-9</v>
      </c>
      <c r="AM13" s="177" t="s">
        <v>110</v>
      </c>
    </row>
    <row r="14" spans="1:39" s="1" customFormat="1" ht="14.25" x14ac:dyDescent="0.2">
      <c r="A14" s="57" t="s">
        <v>116</v>
      </c>
      <c r="B14" s="333">
        <v>8.8356399999999997</v>
      </c>
      <c r="C14" s="38" t="s">
        <v>198</v>
      </c>
      <c r="D14" s="38" t="s">
        <v>209</v>
      </c>
      <c r="E14" s="53">
        <f>B8</f>
        <v>1.67911012348351E-3</v>
      </c>
      <c r="F14" s="54" t="s">
        <v>11</v>
      </c>
      <c r="G14" s="85" t="s">
        <v>84</v>
      </c>
      <c r="H14" s="233">
        <f>H4*H21*H43*H44</f>
        <v>1.3570720757494756E-6</v>
      </c>
      <c r="I14" s="89" t="s">
        <v>107</v>
      </c>
      <c r="J14" s="85" t="s">
        <v>84</v>
      </c>
      <c r="K14" s="233">
        <f>K4*K21*K43*K44</f>
        <v>1.5850601844753871E-6</v>
      </c>
      <c r="L14" s="89" t="s">
        <v>107</v>
      </c>
      <c r="M14" s="38" t="s">
        <v>210</v>
      </c>
      <c r="N14" s="53">
        <f>B9</f>
        <v>1.036E-3</v>
      </c>
      <c r="O14" s="28" t="s">
        <v>11</v>
      </c>
      <c r="P14" s="93" t="s">
        <v>84</v>
      </c>
      <c r="Q14" s="230">
        <f>Q4*Q21*Q43*Q44</f>
        <v>1.9739970413851868E-6</v>
      </c>
      <c r="R14" s="98" t="s">
        <v>107</v>
      </c>
      <c r="S14" s="93" t="s">
        <v>84</v>
      </c>
      <c r="T14" s="230">
        <f>T4*T21*T43*T44</f>
        <v>2.3056285443378982E-6</v>
      </c>
      <c r="U14" s="98" t="s">
        <v>107</v>
      </c>
      <c r="V14" s="38" t="s">
        <v>210</v>
      </c>
      <c r="W14" s="53">
        <f>B9</f>
        <v>1.036E-3</v>
      </c>
      <c r="X14" s="54" t="s">
        <v>11</v>
      </c>
      <c r="Y14" s="77" t="s">
        <v>84</v>
      </c>
      <c r="Z14" s="224">
        <f>Z4*Z21*Z43*Z44</f>
        <v>2.1933300459835411E-6</v>
      </c>
      <c r="AA14" s="82" t="s">
        <v>107</v>
      </c>
      <c r="AB14" s="77" t="s">
        <v>84</v>
      </c>
      <c r="AC14" s="224">
        <f>AC4*AC21*AC43*AC44</f>
        <v>2.5618094937087754E-6</v>
      </c>
      <c r="AD14" s="82" t="s">
        <v>107</v>
      </c>
      <c r="AE14" s="38" t="s">
        <v>210</v>
      </c>
      <c r="AF14" s="53">
        <f>B9</f>
        <v>1.036E-3</v>
      </c>
      <c r="AG14" s="54" t="s">
        <v>11</v>
      </c>
      <c r="AH14" s="176" t="s">
        <v>84</v>
      </c>
      <c r="AI14" s="227">
        <f>AI4*AI21*AI43*AI44</f>
        <v>4.9349926034629676E-6</v>
      </c>
      <c r="AJ14" s="181" t="s">
        <v>107</v>
      </c>
      <c r="AK14" s="176" t="s">
        <v>84</v>
      </c>
      <c r="AL14" s="227">
        <f>AL4*AL21*AL43*AL44</f>
        <v>5.764071360844745E-6</v>
      </c>
      <c r="AM14" s="181" t="s">
        <v>107</v>
      </c>
    </row>
    <row r="15" spans="1:39" s="1" customFormat="1" ht="14.25" x14ac:dyDescent="0.2">
      <c r="A15" s="57" t="s">
        <v>117</v>
      </c>
      <c r="B15" s="333">
        <v>15429.68</v>
      </c>
      <c r="C15" s="38" t="s">
        <v>200</v>
      </c>
      <c r="D15" s="54" t="s">
        <v>22</v>
      </c>
      <c r="E15" s="53">
        <f>B7</f>
        <v>3.8043873993229303E-2</v>
      </c>
      <c r="F15" s="54" t="s">
        <v>201</v>
      </c>
      <c r="G15" s="85" t="s">
        <v>85</v>
      </c>
      <c r="H15" s="233">
        <f>H5*H21*H43*H44</f>
        <v>4.7222440473714844E-7</v>
      </c>
      <c r="I15" s="89" t="s">
        <v>107</v>
      </c>
      <c r="J15" s="85" t="s">
        <v>85</v>
      </c>
      <c r="K15" s="233">
        <f>K5*K21*K43*K44</f>
        <v>5.5155810473298928E-7</v>
      </c>
      <c r="L15" s="89" t="s">
        <v>107</v>
      </c>
      <c r="M15" s="54" t="s">
        <v>22</v>
      </c>
      <c r="N15" s="53">
        <f>B7</f>
        <v>3.8043873993229303E-2</v>
      </c>
      <c r="O15" s="28" t="s">
        <v>201</v>
      </c>
      <c r="P15" s="93" t="s">
        <v>85</v>
      </c>
      <c r="Q15" s="230">
        <f>Q5*Q21*Q43*Q44</f>
        <v>6.8689761913065608E-7</v>
      </c>
      <c r="R15" s="98" t="s">
        <v>107</v>
      </c>
      <c r="S15" s="93" t="s">
        <v>85</v>
      </c>
      <c r="T15" s="230">
        <f>T5*T21*T43*T44</f>
        <v>8.0229641914460606E-7</v>
      </c>
      <c r="U15" s="98" t="s">
        <v>107</v>
      </c>
      <c r="V15" s="54" t="s">
        <v>22</v>
      </c>
      <c r="W15" s="53">
        <f>B7</f>
        <v>3.8043873993229303E-2</v>
      </c>
      <c r="X15" s="54" t="s">
        <v>201</v>
      </c>
      <c r="Y15" s="77" t="s">
        <v>85</v>
      </c>
      <c r="Z15" s="224">
        <f>Z5*Z21*Z43*Z44</f>
        <v>7.6321957681184034E-7</v>
      </c>
      <c r="AA15" s="82" t="s">
        <v>107</v>
      </c>
      <c r="AB15" s="77" t="s">
        <v>85</v>
      </c>
      <c r="AC15" s="224">
        <f>AC5*AC21*AC43*AC44</f>
        <v>8.9144046571622924E-7</v>
      </c>
      <c r="AD15" s="82" t="s">
        <v>107</v>
      </c>
      <c r="AE15" s="54" t="s">
        <v>22</v>
      </c>
      <c r="AF15" s="53">
        <f>B7</f>
        <v>3.8043873993229303E-2</v>
      </c>
      <c r="AG15" s="54" t="s">
        <v>201</v>
      </c>
      <c r="AH15" s="176" t="s">
        <v>85</v>
      </c>
      <c r="AI15" s="227">
        <f>AI5*AI21*AI43*AI44</f>
        <v>1.7172440478266405E-6</v>
      </c>
      <c r="AJ15" s="181" t="s">
        <v>107</v>
      </c>
      <c r="AK15" s="176" t="s">
        <v>85</v>
      </c>
      <c r="AL15" s="227">
        <f>AL5*AL21*AL43*AL44</f>
        <v>2.0057410478615156E-6</v>
      </c>
      <c r="AM15" s="181" t="s">
        <v>107</v>
      </c>
    </row>
    <row r="16" spans="1:39" s="1" customFormat="1" ht="15" thickBot="1" x14ac:dyDescent="0.25">
      <c r="A16" s="59" t="s">
        <v>9</v>
      </c>
      <c r="B16" s="333">
        <v>1600</v>
      </c>
      <c r="C16" s="39" t="s">
        <v>118</v>
      </c>
      <c r="D16" s="54" t="s">
        <v>23</v>
      </c>
      <c r="E16" s="53">
        <f>B11</f>
        <v>1.9522299999999999</v>
      </c>
      <c r="F16" s="54" t="s">
        <v>198</v>
      </c>
      <c r="G16" s="87" t="s">
        <v>86</v>
      </c>
      <c r="H16" s="234">
        <f>H6*H21*H43*H44</f>
        <v>2.9551463805961097E-7</v>
      </c>
      <c r="I16" s="90" t="s">
        <v>107</v>
      </c>
      <c r="J16" s="87" t="s">
        <v>86</v>
      </c>
      <c r="K16" s="234">
        <f>K6*K21*K43*K44</f>
        <v>3.4516109725362555E-7</v>
      </c>
      <c r="L16" s="90" t="s">
        <v>107</v>
      </c>
      <c r="M16" s="54" t="s">
        <v>23</v>
      </c>
      <c r="N16" s="53">
        <f>B11</f>
        <v>1.9522299999999999</v>
      </c>
      <c r="O16" s="28" t="s">
        <v>201</v>
      </c>
      <c r="P16" s="95" t="s">
        <v>86</v>
      </c>
      <c r="Q16" s="231">
        <f>Q6*Q21*Q43*Q44</f>
        <v>4.2985559252151004E-7</v>
      </c>
      <c r="R16" s="99" t="s">
        <v>107</v>
      </c>
      <c r="S16" s="95" t="s">
        <v>86</v>
      </c>
      <c r="T16" s="231">
        <f>T6*T21*T43*T44</f>
        <v>5.0207133206512361E-7</v>
      </c>
      <c r="U16" s="99" t="s">
        <v>107</v>
      </c>
      <c r="V16" s="54" t="s">
        <v>23</v>
      </c>
      <c r="W16" s="53">
        <f>B11</f>
        <v>1.9522299999999999</v>
      </c>
      <c r="X16" s="54" t="s">
        <v>201</v>
      </c>
      <c r="Y16" s="79" t="s">
        <v>86</v>
      </c>
      <c r="Z16" s="225">
        <f>Z6*Z21*Z43*Z44</f>
        <v>4.7761732502390004E-7</v>
      </c>
      <c r="AA16" s="83" t="s">
        <v>107</v>
      </c>
      <c r="AB16" s="79" t="s">
        <v>86</v>
      </c>
      <c r="AC16" s="225">
        <f>AC6*AC21*AC43*AC44</f>
        <v>5.5785703562791536E-7</v>
      </c>
      <c r="AD16" s="83" t="s">
        <v>107</v>
      </c>
      <c r="AE16" s="54" t="s">
        <v>23</v>
      </c>
      <c r="AF16" s="53">
        <f>B11</f>
        <v>1.9522299999999999</v>
      </c>
      <c r="AG16" s="54" t="s">
        <v>201</v>
      </c>
      <c r="AH16" s="178" t="s">
        <v>86</v>
      </c>
      <c r="AI16" s="228">
        <f>AI6*AI21*AI43*AI44</f>
        <v>1.0746389813037753E-6</v>
      </c>
      <c r="AJ16" s="182" t="s">
        <v>107</v>
      </c>
      <c r="AK16" s="178" t="s">
        <v>86</v>
      </c>
      <c r="AL16" s="228">
        <f>AL6*AL21*AL43*AL44</f>
        <v>1.2551783301628091E-6</v>
      </c>
      <c r="AM16" s="182" t="s">
        <v>107</v>
      </c>
    </row>
    <row r="17" spans="1:39" s="1" customFormat="1" ht="14.25" x14ac:dyDescent="0.2">
      <c r="A17" s="38" t="s">
        <v>141</v>
      </c>
      <c r="B17" s="331">
        <v>1</v>
      </c>
      <c r="C17" s="40"/>
      <c r="D17" s="28" t="s">
        <v>92</v>
      </c>
      <c r="E17" s="47">
        <f>(E8*E9*E11)/(E12*E14*E22)</f>
        <v>1.516078839747018E-2</v>
      </c>
      <c r="F17" s="28" t="s">
        <v>94</v>
      </c>
      <c r="G17" t="s">
        <v>21</v>
      </c>
      <c r="H17" s="220">
        <f>B6</f>
        <v>1</v>
      </c>
      <c r="I17"/>
      <c r="J17" t="s">
        <v>21</v>
      </c>
      <c r="K17" s="220">
        <f>B6</f>
        <v>1</v>
      </c>
      <c r="L17"/>
      <c r="M17" s="28" t="s">
        <v>92</v>
      </c>
      <c r="N17" s="47">
        <f>(N8*N9*N11)/(N12*N14*N22*N28)</f>
        <v>1.9703265663326544E-2</v>
      </c>
      <c r="O17" s="28" t="s">
        <v>94</v>
      </c>
      <c r="P17" t="s">
        <v>21</v>
      </c>
      <c r="Q17" s="220">
        <f>B6</f>
        <v>1</v>
      </c>
      <c r="R17"/>
      <c r="S17" t="s">
        <v>21</v>
      </c>
      <c r="T17" s="220">
        <f>B6</f>
        <v>1</v>
      </c>
      <c r="U17"/>
      <c r="V17" s="28" t="s">
        <v>92</v>
      </c>
      <c r="W17" s="47">
        <f>(W8*W9*W11)/(W12*W14*W22*W28)</f>
        <v>2.189251740369616E-2</v>
      </c>
      <c r="X17" s="28" t="s">
        <v>94</v>
      </c>
      <c r="Y17" t="s">
        <v>21</v>
      </c>
      <c r="Z17" s="220">
        <f>B6</f>
        <v>1</v>
      </c>
      <c r="AA17"/>
      <c r="AB17" t="s">
        <v>21</v>
      </c>
      <c r="AC17" s="220">
        <f>B6</f>
        <v>1</v>
      </c>
      <c r="AD17"/>
      <c r="AE17" s="28" t="s">
        <v>92</v>
      </c>
      <c r="AF17" s="47">
        <f>(AF8*AF9*AF11)/(AF12*AF14*AF22*AF28)</f>
        <v>1.3135510442217694E-2</v>
      </c>
      <c r="AG17" s="28" t="s">
        <v>94</v>
      </c>
      <c r="AH17" t="s">
        <v>21</v>
      </c>
      <c r="AI17" s="220">
        <f>B6</f>
        <v>1</v>
      </c>
      <c r="AJ17"/>
      <c r="AK17" t="s">
        <v>21</v>
      </c>
      <c r="AL17" s="220">
        <f>B6</f>
        <v>1</v>
      </c>
      <c r="AM17"/>
    </row>
    <row r="18" spans="1:39" s="1" customFormat="1" ht="19.5" x14ac:dyDescent="0.35">
      <c r="A18" s="38" t="s">
        <v>142</v>
      </c>
      <c r="B18" s="331">
        <v>1</v>
      </c>
      <c r="C18" s="40"/>
      <c r="D18" s="28" t="s">
        <v>166</v>
      </c>
      <c r="E18" s="46">
        <f>(E8*E9*E11)/(E12*E15*E23*(1/E48)*E47*(E41+E42)*(1/24))</f>
        <v>8.0129276153963959E-5</v>
      </c>
      <c r="F18" s="28" t="s">
        <v>94</v>
      </c>
      <c r="G18" s="54" t="s">
        <v>206</v>
      </c>
      <c r="H18" s="221">
        <f>H28</f>
        <v>1</v>
      </c>
      <c r="I18" t="s">
        <v>205</v>
      </c>
      <c r="J18" s="54" t="s">
        <v>206</v>
      </c>
      <c r="K18" s="221">
        <f>K28</f>
        <v>1</v>
      </c>
      <c r="L18" t="s">
        <v>205</v>
      </c>
      <c r="M18" s="28" t="s">
        <v>166</v>
      </c>
      <c r="N18" s="46">
        <f>(N8*N9*N11)/(N12*N15*N29*N25*N28*(1/N38)*N37)</f>
        <v>7.5088904296051164E-5</v>
      </c>
      <c r="O18" s="28" t="s">
        <v>94</v>
      </c>
      <c r="P18" s="54" t="s">
        <v>207</v>
      </c>
      <c r="Q18" s="221">
        <f>Q28</f>
        <v>1</v>
      </c>
      <c r="R18" t="s">
        <v>205</v>
      </c>
      <c r="S18" s="54" t="s">
        <v>207</v>
      </c>
      <c r="T18" s="221">
        <f>T28</f>
        <v>1</v>
      </c>
      <c r="U18" t="s">
        <v>205</v>
      </c>
      <c r="V18" s="28" t="s">
        <v>166</v>
      </c>
      <c r="W18" s="46">
        <f>(W8*W9*W11)/(W12*W15*W29*W25*W28*(1/W38)*W37)</f>
        <v>8.3432115884501292E-5</v>
      </c>
      <c r="X18" s="28" t="s">
        <v>94</v>
      </c>
      <c r="Y18" s="54" t="s">
        <v>208</v>
      </c>
      <c r="Z18" s="221">
        <f>Z28</f>
        <v>1</v>
      </c>
      <c r="AA18" t="s">
        <v>205</v>
      </c>
      <c r="AB18" s="54" t="s">
        <v>208</v>
      </c>
      <c r="AC18" s="221">
        <f>AC28</f>
        <v>1</v>
      </c>
      <c r="AD18" t="s">
        <v>205</v>
      </c>
      <c r="AE18" s="28" t="s">
        <v>166</v>
      </c>
      <c r="AF18" s="46">
        <f>(AF8*AF9*AF11)/(AF12*AF15*AF29*AF25*AF28*(1/AF38)*AF37)</f>
        <v>7.5088904296051164E-5</v>
      </c>
      <c r="AG18" s="28" t="s">
        <v>94</v>
      </c>
      <c r="AH18" s="54" t="s">
        <v>140</v>
      </c>
      <c r="AI18" s="221">
        <f>AI28</f>
        <v>1</v>
      </c>
      <c r="AJ18" t="s">
        <v>205</v>
      </c>
      <c r="AK18" s="54" t="s">
        <v>140</v>
      </c>
      <c r="AL18" s="221">
        <f>AL28</f>
        <v>1</v>
      </c>
      <c r="AM18" t="s">
        <v>205</v>
      </c>
    </row>
    <row r="19" spans="1:39" s="1" customFormat="1" ht="14.25" x14ac:dyDescent="0.2">
      <c r="A19" s="38" t="s">
        <v>143</v>
      </c>
      <c r="B19" s="331">
        <v>1</v>
      </c>
      <c r="C19" s="40"/>
      <c r="D19" s="28" t="s">
        <v>165</v>
      </c>
      <c r="E19" s="46">
        <f>(E8*E9*E11)/(E12*E15*E23*(1/E49)*E47*(E41+E42)*(1/24))</f>
        <v>1.1493902313024862E-2</v>
      </c>
      <c r="F19" s="28" t="s">
        <v>94</v>
      </c>
      <c r="G19" s="29" t="s">
        <v>1</v>
      </c>
      <c r="H19" s="51">
        <f>0.693/H21</f>
        <v>4.3312499999999997E-4</v>
      </c>
      <c r="I19" s="29"/>
      <c r="J19" s="29" t="s">
        <v>1</v>
      </c>
      <c r="K19" s="51">
        <f>0.693/K21</f>
        <v>4.3312499999999997E-4</v>
      </c>
      <c r="L19"/>
      <c r="M19" s="28" t="s">
        <v>165</v>
      </c>
      <c r="N19" s="46">
        <f>(N8*N9*N11)/(N12*N15*N29*N25*N28*(1/N39)*N37)</f>
        <v>1.0770901375828659E-2</v>
      </c>
      <c r="O19" s="28" t="s">
        <v>94</v>
      </c>
      <c r="P19" s="29" t="s">
        <v>1</v>
      </c>
      <c r="Q19" s="51">
        <f>0.693/Q21</f>
        <v>4.3312499999999997E-4</v>
      </c>
      <c r="R19" s="29"/>
      <c r="S19" s="29" t="s">
        <v>1</v>
      </c>
      <c r="T19" s="51">
        <f>0.693/T21</f>
        <v>4.3312499999999997E-4</v>
      </c>
      <c r="U19"/>
      <c r="V19" s="28" t="s">
        <v>165</v>
      </c>
      <c r="W19" s="46">
        <f>(W8*W9*W11)/(W12*W15*W29*W25*W28*(1/W39)*W37)</f>
        <v>1.196766819536518E-2</v>
      </c>
      <c r="X19" s="28" t="s">
        <v>94</v>
      </c>
      <c r="Y19" s="29" t="s">
        <v>1</v>
      </c>
      <c r="Z19" s="51">
        <f>0.693/Z21</f>
        <v>4.3312499999999997E-4</v>
      </c>
      <c r="AA19"/>
      <c r="AB19" s="29" t="s">
        <v>1</v>
      </c>
      <c r="AC19" s="51">
        <f>0.693/AC21</f>
        <v>4.3312499999999997E-4</v>
      </c>
      <c r="AD19" s="29"/>
      <c r="AE19" s="28" t="s">
        <v>165</v>
      </c>
      <c r="AF19" s="46">
        <f>(AF8*AF9*AF11)/(AF12*AF15*AF29*AF25*AF28*(1/AF39)*AF37)</f>
        <v>1.0770901375828659E-2</v>
      </c>
      <c r="AG19" s="28" t="s">
        <v>94</v>
      </c>
      <c r="AH19" s="29" t="s">
        <v>1</v>
      </c>
      <c r="AI19" s="51">
        <f>0.693/AI21</f>
        <v>4.3312499999999997E-4</v>
      </c>
      <c r="AJ19" s="29"/>
      <c r="AK19" s="29" t="s">
        <v>1</v>
      </c>
      <c r="AL19" s="51">
        <f>0.693/AL21</f>
        <v>4.3312499999999997E-4</v>
      </c>
      <c r="AM19"/>
    </row>
    <row r="20" spans="1:39" s="1" customFormat="1" ht="14.25" x14ac:dyDescent="0.2">
      <c r="A20" s="38" t="s">
        <v>144</v>
      </c>
      <c r="B20" s="331">
        <v>1</v>
      </c>
      <c r="C20"/>
      <c r="D20" s="28" t="s">
        <v>93</v>
      </c>
      <c r="E20" s="45">
        <f>(E8*E9*E11)/(E12*E16*E39*E40*E28*(1/365)*E46*((E41*E44)+(E42*E45))*(1/24))</f>
        <v>1.5427430317161626</v>
      </c>
      <c r="F20" s="28" t="s">
        <v>94</v>
      </c>
      <c r="G20" s="28" t="s">
        <v>126</v>
      </c>
      <c r="H20" s="51">
        <f>(1-EXP(-H19*H18))</f>
        <v>4.3303121490789742E-4</v>
      </c>
      <c r="I20"/>
      <c r="J20" s="28" t="s">
        <v>126</v>
      </c>
      <c r="K20" s="51">
        <f>(1-EXP(-K19*K18))</f>
        <v>4.3303121490789742E-4</v>
      </c>
      <c r="L20"/>
      <c r="M20" s="28" t="s">
        <v>93</v>
      </c>
      <c r="N20" s="45">
        <f>(N8*N9*N11)/(N12*N16*N31*N32*N36*N28*(1/365)*N34*N25*(1/24))</f>
        <v>2.2440740139343296</v>
      </c>
      <c r="O20" s="28" t="s">
        <v>94</v>
      </c>
      <c r="P20" s="28" t="s">
        <v>126</v>
      </c>
      <c r="Q20" s="51">
        <f>(1-EXP(-Q19*Q18))</f>
        <v>4.3303121490789742E-4</v>
      </c>
      <c r="R20"/>
      <c r="S20" s="28" t="s">
        <v>126</v>
      </c>
      <c r="T20" s="51">
        <f>(1-EXP(-T19*T18))</f>
        <v>4.3303121490789742E-4</v>
      </c>
      <c r="U20"/>
      <c r="V20" s="28" t="s">
        <v>93</v>
      </c>
      <c r="W20" s="45">
        <f>(W8*W9*W11)/(W12*W16*W31*W32*W36*W28*(1/365)*W34*W25*(1/24))</f>
        <v>2.493415571038144</v>
      </c>
      <c r="X20" s="28" t="s">
        <v>94</v>
      </c>
      <c r="Y20" s="28" t="s">
        <v>126</v>
      </c>
      <c r="Z20" s="51">
        <f>(1-EXP(-Z19*Z18))</f>
        <v>4.3303121490789742E-4</v>
      </c>
      <c r="AA20"/>
      <c r="AB20" s="28" t="s">
        <v>126</v>
      </c>
      <c r="AC20" s="51">
        <f>(1-EXP(-AC19*AC18))</f>
        <v>4.3303121490789742E-4</v>
      </c>
      <c r="AD20"/>
      <c r="AE20" s="28" t="s">
        <v>93</v>
      </c>
      <c r="AF20" s="45">
        <f>(AF8*AF9*AF11)/(AF12*AF16*AF35*AF31*AF32*AF36*AF25*(1/24)*AF28*(1/365))</f>
        <v>5.6101850348358235</v>
      </c>
      <c r="AG20" s="28" t="s">
        <v>94</v>
      </c>
      <c r="AH20" s="28" t="s">
        <v>126</v>
      </c>
      <c r="AI20" s="51">
        <f>(1-EXP(-AI19*AI18))</f>
        <v>4.3303121490789742E-4</v>
      </c>
      <c r="AJ20"/>
      <c r="AK20" s="28" t="s">
        <v>126</v>
      </c>
      <c r="AL20" s="51">
        <f>(1-EXP(-AL19*AL18))</f>
        <v>4.3303121490789742E-4</v>
      </c>
      <c r="AM20"/>
    </row>
    <row r="21" spans="1:39" s="1" customFormat="1" ht="14.25" x14ac:dyDescent="0.2">
      <c r="A21" s="38" t="s">
        <v>145</v>
      </c>
      <c r="B21" s="331">
        <v>1</v>
      </c>
      <c r="C21"/>
      <c r="D21" s="28"/>
      <c r="E21" s="32"/>
      <c r="F21" s="28"/>
      <c r="G21" s="56" t="s">
        <v>9</v>
      </c>
      <c r="H21" s="53">
        <f>B16</f>
        <v>1600</v>
      </c>
      <c r="I21" s="2" t="s">
        <v>10</v>
      </c>
      <c r="J21" s="56" t="s">
        <v>9</v>
      </c>
      <c r="K21" s="43">
        <f>B16</f>
        <v>1600</v>
      </c>
      <c r="L21" s="1" t="s">
        <v>10</v>
      </c>
      <c r="M21" s="28"/>
      <c r="N21" s="32"/>
      <c r="O21" s="28"/>
      <c r="P21" s="56" t="s">
        <v>9</v>
      </c>
      <c r="Q21" s="53">
        <f>B16</f>
        <v>1600</v>
      </c>
      <c r="R21" s="2" t="s">
        <v>10</v>
      </c>
      <c r="S21" s="56" t="s">
        <v>9</v>
      </c>
      <c r="T21" s="43">
        <f>B16</f>
        <v>1600</v>
      </c>
      <c r="U21" s="1" t="s">
        <v>10</v>
      </c>
      <c r="V21" s="28"/>
      <c r="W21" s="28"/>
      <c r="X21" s="28"/>
      <c r="Y21" s="56" t="s">
        <v>9</v>
      </c>
      <c r="Z21" s="43">
        <f>B16</f>
        <v>1600</v>
      </c>
      <c r="AA21" s="1" t="s">
        <v>10</v>
      </c>
      <c r="AB21" s="56" t="s">
        <v>9</v>
      </c>
      <c r="AC21" s="53">
        <f>B16</f>
        <v>1600</v>
      </c>
      <c r="AD21" s="2" t="s">
        <v>10</v>
      </c>
      <c r="AE21" s="28"/>
      <c r="AF21" s="32"/>
      <c r="AG21" s="28"/>
      <c r="AH21" s="56" t="s">
        <v>9</v>
      </c>
      <c r="AI21" s="53">
        <f>B16</f>
        <v>1600</v>
      </c>
      <c r="AJ21" s="2" t="s">
        <v>10</v>
      </c>
      <c r="AK21" s="56" t="s">
        <v>9</v>
      </c>
      <c r="AL21" s="43">
        <f>B16</f>
        <v>1600</v>
      </c>
      <c r="AM21" s="1" t="s">
        <v>10</v>
      </c>
    </row>
    <row r="22" spans="1:39" s="1" customFormat="1" ht="14.25" x14ac:dyDescent="0.2">
      <c r="A22" s="58" t="s">
        <v>102</v>
      </c>
      <c r="B22" s="209">
        <v>226.025409</v>
      </c>
      <c r="C22" s="40" t="s">
        <v>103</v>
      </c>
      <c r="D22" s="60" t="s">
        <v>220</v>
      </c>
      <c r="E22" s="61">
        <f>(E24*E27*E29*E25*E31*E33*E35)+(E24*E26*E28*E25*E32*E30*E34)</f>
        <v>39291</v>
      </c>
      <c r="F22" s="62" t="s">
        <v>24</v>
      </c>
      <c r="G22" s="38" t="s">
        <v>113</v>
      </c>
      <c r="H22" s="220">
        <f>B10</f>
        <v>10.423439999999999</v>
      </c>
      <c r="I22" s="38" t="s">
        <v>198</v>
      </c>
      <c r="J22" s="38" t="s">
        <v>113</v>
      </c>
      <c r="K22" s="220">
        <f>B10</f>
        <v>10.423439999999999</v>
      </c>
      <c r="L22" s="38" t="s">
        <v>198</v>
      </c>
      <c r="M22" s="60" t="s">
        <v>217</v>
      </c>
      <c r="N22" s="71">
        <f>N23*N25*N24*N26*N27</f>
        <v>196</v>
      </c>
      <c r="O22" s="62" t="s">
        <v>24</v>
      </c>
      <c r="P22" s="38" t="s">
        <v>113</v>
      </c>
      <c r="Q22" s="220">
        <f>B10</f>
        <v>10.423439999999999</v>
      </c>
      <c r="R22" s="38" t="s">
        <v>198</v>
      </c>
      <c r="S22" s="38" t="s">
        <v>113</v>
      </c>
      <c r="T22" s="220">
        <f>B10</f>
        <v>10.423439999999999</v>
      </c>
      <c r="U22" s="38" t="s">
        <v>198</v>
      </c>
      <c r="V22" s="60" t="s">
        <v>218</v>
      </c>
      <c r="W22" s="71">
        <f>W23*W25*W24*W26*W27</f>
        <v>196</v>
      </c>
      <c r="X22" s="62" t="s">
        <v>24</v>
      </c>
      <c r="Y22" s="38" t="s">
        <v>113</v>
      </c>
      <c r="Z22" s="220">
        <f>B10</f>
        <v>10.423439999999999</v>
      </c>
      <c r="AA22" s="38" t="s">
        <v>198</v>
      </c>
      <c r="AB22" s="38" t="s">
        <v>113</v>
      </c>
      <c r="AC22" s="220">
        <f>B10</f>
        <v>10.423439999999999</v>
      </c>
      <c r="AD22" s="38" t="s">
        <v>198</v>
      </c>
      <c r="AE22" s="60" t="s">
        <v>219</v>
      </c>
      <c r="AF22" s="71">
        <f>AF23*AF25*AF24*AF26*AF27</f>
        <v>294</v>
      </c>
      <c r="AG22" s="62" t="s">
        <v>24</v>
      </c>
      <c r="AH22" s="38" t="s">
        <v>113</v>
      </c>
      <c r="AI22" s="220">
        <f>B10</f>
        <v>10.423439999999999</v>
      </c>
      <c r="AJ22" s="38" t="s">
        <v>198</v>
      </c>
      <c r="AK22" s="38" t="s">
        <v>113</v>
      </c>
      <c r="AL22" s="220">
        <f>B10</f>
        <v>10.423439999999999</v>
      </c>
      <c r="AM22" s="38" t="s">
        <v>198</v>
      </c>
    </row>
    <row r="23" spans="1:39" s="1" customFormat="1" ht="14.25" x14ac:dyDescent="0.2">
      <c r="A23" t="s">
        <v>90</v>
      </c>
      <c r="B23" s="188">
        <v>1.1679999999999999</v>
      </c>
      <c r="C23"/>
      <c r="D23" s="63" t="s">
        <v>221</v>
      </c>
      <c r="E23" s="64">
        <f>(E37*E29*E31)+(E36*E28*E30)</f>
        <v>6195</v>
      </c>
      <c r="F23" s="65" t="s">
        <v>25</v>
      </c>
      <c r="G23" s="38" t="s">
        <v>23</v>
      </c>
      <c r="H23" s="220">
        <f>B11</f>
        <v>1.9522299999999999</v>
      </c>
      <c r="I23" s="38" t="s">
        <v>199</v>
      </c>
      <c r="J23" s="38" t="s">
        <v>23</v>
      </c>
      <c r="K23" s="220">
        <f>B11</f>
        <v>1.9522299999999999</v>
      </c>
      <c r="L23" s="38" t="s">
        <v>199</v>
      </c>
      <c r="M23" s="63" t="s">
        <v>162</v>
      </c>
      <c r="N23" s="66">
        <f>B27</f>
        <v>0.5</v>
      </c>
      <c r="O23" s="65"/>
      <c r="P23" s="38" t="s">
        <v>23</v>
      </c>
      <c r="Q23" s="220">
        <f>B11</f>
        <v>1.9522299999999999</v>
      </c>
      <c r="R23" s="38" t="s">
        <v>199</v>
      </c>
      <c r="S23" s="38" t="s">
        <v>23</v>
      </c>
      <c r="T23" s="220">
        <f>B11</f>
        <v>1.9522299999999999</v>
      </c>
      <c r="U23" s="38" t="s">
        <v>199</v>
      </c>
      <c r="V23" s="63" t="s">
        <v>162</v>
      </c>
      <c r="W23" s="66">
        <f>B27</f>
        <v>0.5</v>
      </c>
      <c r="X23" s="65"/>
      <c r="Y23" s="38" t="s">
        <v>23</v>
      </c>
      <c r="Z23" s="220">
        <f>B11</f>
        <v>1.9522299999999999</v>
      </c>
      <c r="AA23" s="38" t="s">
        <v>199</v>
      </c>
      <c r="AB23" s="38" t="s">
        <v>23</v>
      </c>
      <c r="AC23" s="220">
        <f>B11</f>
        <v>1.9522299999999999</v>
      </c>
      <c r="AD23" s="38" t="s">
        <v>199</v>
      </c>
      <c r="AE23" s="63" t="s">
        <v>162</v>
      </c>
      <c r="AF23" s="66">
        <f>B27</f>
        <v>0.5</v>
      </c>
      <c r="AG23" s="65"/>
      <c r="AH23" s="38" t="s">
        <v>23</v>
      </c>
      <c r="AI23" s="220">
        <f>B11</f>
        <v>1.9522299999999999</v>
      </c>
      <c r="AJ23" s="38" t="s">
        <v>199</v>
      </c>
      <c r="AK23" s="38" t="s">
        <v>23</v>
      </c>
      <c r="AL23" s="220">
        <f>B11</f>
        <v>1.9522299999999999</v>
      </c>
      <c r="AM23" s="38" t="s">
        <v>199</v>
      </c>
    </row>
    <row r="24" spans="1:39" s="1" customFormat="1" ht="14.25" x14ac:dyDescent="0.2">
      <c r="A24" s="28" t="s">
        <v>139</v>
      </c>
      <c r="B24" s="55">
        <v>1</v>
      </c>
      <c r="C24"/>
      <c r="D24" s="63" t="s">
        <v>162</v>
      </c>
      <c r="E24" s="66">
        <f>B27</f>
        <v>0.5</v>
      </c>
      <c r="F24" s="65"/>
      <c r="G24" s="38" t="s">
        <v>114</v>
      </c>
      <c r="H24" s="220">
        <f>B12</f>
        <v>1.92404</v>
      </c>
      <c r="I24" s="38" t="s">
        <v>198</v>
      </c>
      <c r="J24" s="38" t="s">
        <v>114</v>
      </c>
      <c r="K24" s="220">
        <f>B12</f>
        <v>1.92404</v>
      </c>
      <c r="L24" s="38" t="s">
        <v>198</v>
      </c>
      <c r="M24" s="63" t="s">
        <v>119</v>
      </c>
      <c r="N24" s="66">
        <f>B28</f>
        <v>0.5</v>
      </c>
      <c r="O24" s="65"/>
      <c r="P24" s="38" t="s">
        <v>114</v>
      </c>
      <c r="Q24" s="220">
        <f>B12</f>
        <v>1.92404</v>
      </c>
      <c r="R24" s="38" t="s">
        <v>198</v>
      </c>
      <c r="S24" s="38" t="s">
        <v>114</v>
      </c>
      <c r="T24" s="220">
        <f>B12</f>
        <v>1.92404</v>
      </c>
      <c r="U24" s="38" t="s">
        <v>198</v>
      </c>
      <c r="V24" s="63" t="s">
        <v>119</v>
      </c>
      <c r="W24" s="66">
        <f>B28</f>
        <v>0.5</v>
      </c>
      <c r="X24" s="65"/>
      <c r="Y24" s="38" t="s">
        <v>114</v>
      </c>
      <c r="Z24" s="220">
        <f>B12</f>
        <v>1.92404</v>
      </c>
      <c r="AA24" s="38" t="s">
        <v>198</v>
      </c>
      <c r="AB24" s="38" t="s">
        <v>114</v>
      </c>
      <c r="AC24" s="220">
        <f>B12</f>
        <v>1.92404</v>
      </c>
      <c r="AD24" s="38" t="s">
        <v>198</v>
      </c>
      <c r="AE24" s="63" t="s">
        <v>119</v>
      </c>
      <c r="AF24" s="66">
        <f>B28</f>
        <v>0.5</v>
      </c>
      <c r="AG24" s="65"/>
      <c r="AH24" s="38" t="s">
        <v>114</v>
      </c>
      <c r="AI24" s="220">
        <f>B12</f>
        <v>1.92404</v>
      </c>
      <c r="AJ24" s="38" t="s">
        <v>198</v>
      </c>
      <c r="AK24" s="38" t="s">
        <v>114</v>
      </c>
      <c r="AL24" s="220">
        <f>B12</f>
        <v>1.92404</v>
      </c>
      <c r="AM24" s="38" t="s">
        <v>198</v>
      </c>
    </row>
    <row r="25" spans="1:39" s="1" customFormat="1" ht="14.25" x14ac:dyDescent="0.2">
      <c r="A25" s="28" t="s">
        <v>3</v>
      </c>
      <c r="B25" s="55">
        <v>1</v>
      </c>
      <c r="C25" s="37"/>
      <c r="D25" s="63" t="s">
        <v>119</v>
      </c>
      <c r="E25" s="66">
        <f>B28</f>
        <v>0.5</v>
      </c>
      <c r="F25" s="65"/>
      <c r="G25" s="38" t="s">
        <v>115</v>
      </c>
      <c r="H25" s="220">
        <f>B13</f>
        <v>5.52928</v>
      </c>
      <c r="I25" s="38" t="s">
        <v>198</v>
      </c>
      <c r="J25" s="38" t="s">
        <v>115</v>
      </c>
      <c r="K25" s="220">
        <f>B13</f>
        <v>5.52928</v>
      </c>
      <c r="L25" s="38" t="s">
        <v>198</v>
      </c>
      <c r="M25" s="63" t="s">
        <v>122</v>
      </c>
      <c r="N25" s="66">
        <f>B58</f>
        <v>8</v>
      </c>
      <c r="O25" s="65" t="s">
        <v>203</v>
      </c>
      <c r="P25" s="38" t="s">
        <v>115</v>
      </c>
      <c r="Q25" s="220">
        <f>B13</f>
        <v>5.52928</v>
      </c>
      <c r="R25" s="38" t="s">
        <v>198</v>
      </c>
      <c r="S25" s="38" t="s">
        <v>115</v>
      </c>
      <c r="T25" s="220">
        <f>B13</f>
        <v>5.52928</v>
      </c>
      <c r="U25" s="38" t="s">
        <v>198</v>
      </c>
      <c r="V25" s="63" t="s">
        <v>132</v>
      </c>
      <c r="W25" s="66">
        <f>B67</f>
        <v>8</v>
      </c>
      <c r="X25" s="65" t="s">
        <v>203</v>
      </c>
      <c r="Y25" s="38" t="s">
        <v>115</v>
      </c>
      <c r="Z25" s="220">
        <f>B13</f>
        <v>5.52928</v>
      </c>
      <c r="AA25" s="38" t="s">
        <v>198</v>
      </c>
      <c r="AB25" s="38" t="s">
        <v>115</v>
      </c>
      <c r="AC25" s="220">
        <f>B13</f>
        <v>5.52928</v>
      </c>
      <c r="AD25" s="38" t="s">
        <v>198</v>
      </c>
      <c r="AE25" s="63" t="s">
        <v>14</v>
      </c>
      <c r="AF25" s="66">
        <f>B76</f>
        <v>8</v>
      </c>
      <c r="AG25" s="65" t="s">
        <v>203</v>
      </c>
      <c r="AH25" s="38" t="s">
        <v>115</v>
      </c>
      <c r="AI25" s="220">
        <f>B13</f>
        <v>5.52928</v>
      </c>
      <c r="AJ25" s="38" t="s">
        <v>198</v>
      </c>
      <c r="AK25" s="38" t="s">
        <v>115</v>
      </c>
      <c r="AL25" s="220">
        <f>B13</f>
        <v>5.52928</v>
      </c>
      <c r="AM25" s="38" t="s">
        <v>198</v>
      </c>
    </row>
    <row r="26" spans="1:39" s="1" customFormat="1" ht="14.25" x14ac:dyDescent="0.2">
      <c r="A26" s="28" t="s">
        <v>27</v>
      </c>
      <c r="B26" s="55">
        <v>1</v>
      </c>
      <c r="C26" s="37"/>
      <c r="D26" s="67" t="s">
        <v>159</v>
      </c>
      <c r="E26" s="66">
        <f>B40</f>
        <v>4</v>
      </c>
      <c r="F26" s="65" t="s">
        <v>203</v>
      </c>
      <c r="G26" s="38" t="s">
        <v>116</v>
      </c>
      <c r="H26" s="220">
        <f>B14</f>
        <v>8.8356399999999997</v>
      </c>
      <c r="I26" s="38" t="s">
        <v>198</v>
      </c>
      <c r="J26" s="38" t="s">
        <v>116</v>
      </c>
      <c r="K26" s="220">
        <f>B14</f>
        <v>8.8356399999999997</v>
      </c>
      <c r="L26" s="38" t="s">
        <v>198</v>
      </c>
      <c r="M26" s="63" t="s">
        <v>136</v>
      </c>
      <c r="N26" s="66">
        <f>B62</f>
        <v>49</v>
      </c>
      <c r="O26" s="65" t="s">
        <v>24</v>
      </c>
      <c r="P26" s="38" t="s">
        <v>116</v>
      </c>
      <c r="Q26" s="220">
        <f>B14</f>
        <v>8.8356399999999997</v>
      </c>
      <c r="R26" s="38" t="s">
        <v>198</v>
      </c>
      <c r="S26" s="38" t="s">
        <v>116</v>
      </c>
      <c r="T26" s="220">
        <f>B14</f>
        <v>8.8356399999999997</v>
      </c>
      <c r="U26" s="38" t="s">
        <v>198</v>
      </c>
      <c r="V26" s="63" t="s">
        <v>130</v>
      </c>
      <c r="W26" s="66">
        <f>B71</f>
        <v>49</v>
      </c>
      <c r="X26" s="65" t="s">
        <v>24</v>
      </c>
      <c r="Y26" s="38" t="s">
        <v>116</v>
      </c>
      <c r="Z26" s="220">
        <f>B14</f>
        <v>8.8356399999999997</v>
      </c>
      <c r="AA26" s="38" t="s">
        <v>198</v>
      </c>
      <c r="AB26" s="38" t="s">
        <v>116</v>
      </c>
      <c r="AC26" s="220">
        <f>B14</f>
        <v>8.8356399999999997</v>
      </c>
      <c r="AD26" s="38" t="s">
        <v>198</v>
      </c>
      <c r="AE26" s="63" t="s">
        <v>17</v>
      </c>
      <c r="AF26" s="66">
        <f>B80</f>
        <v>49</v>
      </c>
      <c r="AG26" s="65" t="s">
        <v>24</v>
      </c>
      <c r="AH26" s="38" t="s">
        <v>116</v>
      </c>
      <c r="AI26" s="220">
        <f>B14</f>
        <v>8.8356399999999997</v>
      </c>
      <c r="AJ26" s="38" t="s">
        <v>198</v>
      </c>
      <c r="AK26" s="38" t="s">
        <v>116</v>
      </c>
      <c r="AL26" s="220">
        <f>B14</f>
        <v>8.8356399999999997</v>
      </c>
      <c r="AM26" s="38" t="s">
        <v>198</v>
      </c>
    </row>
    <row r="27" spans="1:39" s="1" customFormat="1" ht="14.25" x14ac:dyDescent="0.2">
      <c r="A27" s="28" t="s">
        <v>162</v>
      </c>
      <c r="B27" s="55">
        <v>0.5</v>
      </c>
      <c r="C27" s="37"/>
      <c r="D27" s="67" t="s">
        <v>158</v>
      </c>
      <c r="E27" s="66">
        <f>B39</f>
        <v>4</v>
      </c>
      <c r="F27" s="65" t="s">
        <v>203</v>
      </c>
      <c r="G27" s="40" t="s">
        <v>155</v>
      </c>
      <c r="H27" s="222">
        <f>B35</f>
        <v>350</v>
      </c>
      <c r="I27" s="29" t="s">
        <v>202</v>
      </c>
      <c r="J27" s="40" t="s">
        <v>155</v>
      </c>
      <c r="K27" s="221">
        <f>B35</f>
        <v>350</v>
      </c>
      <c r="L27" t="s">
        <v>202</v>
      </c>
      <c r="M27" s="68" t="s">
        <v>137</v>
      </c>
      <c r="N27" s="69">
        <f>B64</f>
        <v>2</v>
      </c>
      <c r="O27" s="70" t="s">
        <v>204</v>
      </c>
      <c r="P27" s="29" t="s">
        <v>87</v>
      </c>
      <c r="Q27" s="222">
        <f>B57</f>
        <v>250</v>
      </c>
      <c r="R27" s="29" t="s">
        <v>202</v>
      </c>
      <c r="S27" s="29" t="s">
        <v>87</v>
      </c>
      <c r="T27" s="221">
        <f>B57</f>
        <v>250</v>
      </c>
      <c r="U27" t="s">
        <v>202</v>
      </c>
      <c r="V27" s="68" t="s">
        <v>131</v>
      </c>
      <c r="W27" s="69">
        <f>B73</f>
        <v>2</v>
      </c>
      <c r="X27" s="70" t="s">
        <v>204</v>
      </c>
      <c r="Y27" s="29" t="s">
        <v>87</v>
      </c>
      <c r="Z27" s="32">
        <f>B66</f>
        <v>225</v>
      </c>
      <c r="AA27" t="s">
        <v>202</v>
      </c>
      <c r="AB27" s="29" t="s">
        <v>87</v>
      </c>
      <c r="AC27" s="222">
        <f>B66</f>
        <v>225</v>
      </c>
      <c r="AD27" s="29" t="s">
        <v>202</v>
      </c>
      <c r="AE27" s="68" t="s">
        <v>18</v>
      </c>
      <c r="AF27" s="69">
        <f>B82</f>
        <v>3</v>
      </c>
      <c r="AG27" s="70" t="s">
        <v>204</v>
      </c>
      <c r="AH27" s="29" t="s">
        <v>87</v>
      </c>
      <c r="AI27" s="222">
        <f>B75</f>
        <v>250</v>
      </c>
      <c r="AJ27" s="29" t="s">
        <v>202</v>
      </c>
      <c r="AK27" s="29" t="s">
        <v>87</v>
      </c>
      <c r="AL27" s="221">
        <f>B75</f>
        <v>250</v>
      </c>
      <c r="AM27" t="s">
        <v>202</v>
      </c>
    </row>
    <row r="28" spans="1:39" s="1" customFormat="1" ht="14.25" x14ac:dyDescent="0.2">
      <c r="A28" s="28" t="s">
        <v>119</v>
      </c>
      <c r="B28" s="55">
        <v>0.5</v>
      </c>
      <c r="C28" s="40"/>
      <c r="D28" s="67" t="s">
        <v>157</v>
      </c>
      <c r="E28" s="66">
        <f>B37</f>
        <v>350</v>
      </c>
      <c r="F28" s="65" t="s">
        <v>202</v>
      </c>
      <c r="G28" s="40" t="s">
        <v>125</v>
      </c>
      <c r="H28" s="221">
        <f>B43</f>
        <v>1</v>
      </c>
      <c r="I28" t="s">
        <v>205</v>
      </c>
      <c r="J28" s="40" t="s">
        <v>125</v>
      </c>
      <c r="K28" s="221">
        <f>B43</f>
        <v>1</v>
      </c>
      <c r="L28" t="s">
        <v>205</v>
      </c>
      <c r="M28" s="73" t="s">
        <v>133</v>
      </c>
      <c r="N28" s="66">
        <f>B57</f>
        <v>250</v>
      </c>
      <c r="O28" s="74" t="s">
        <v>202</v>
      </c>
      <c r="P28" t="s">
        <v>28</v>
      </c>
      <c r="Q28" s="221">
        <f>B61</f>
        <v>1</v>
      </c>
      <c r="R28" t="s">
        <v>205</v>
      </c>
      <c r="S28" s="29" t="s">
        <v>28</v>
      </c>
      <c r="T28" s="221">
        <f>B61</f>
        <v>1</v>
      </c>
      <c r="U28" t="s">
        <v>205</v>
      </c>
      <c r="V28" s="74" t="s">
        <v>128</v>
      </c>
      <c r="W28" s="66">
        <f>B66</f>
        <v>225</v>
      </c>
      <c r="X28" s="74" t="s">
        <v>202</v>
      </c>
      <c r="Y28" t="s">
        <v>28</v>
      </c>
      <c r="Z28" s="221">
        <f>B70</f>
        <v>1</v>
      </c>
      <c r="AA28" t="s">
        <v>205</v>
      </c>
      <c r="AB28" t="s">
        <v>28</v>
      </c>
      <c r="AC28" s="221">
        <f>B70</f>
        <v>1</v>
      </c>
      <c r="AD28" t="s">
        <v>205</v>
      </c>
      <c r="AE28" s="74" t="s">
        <v>13</v>
      </c>
      <c r="AF28" s="66">
        <f>B75</f>
        <v>250</v>
      </c>
      <c r="AG28" s="74" t="s">
        <v>202</v>
      </c>
      <c r="AH28" t="s">
        <v>28</v>
      </c>
      <c r="AI28" s="221">
        <f>B79</f>
        <v>1</v>
      </c>
      <c r="AJ28" t="s">
        <v>205</v>
      </c>
      <c r="AK28" t="s">
        <v>28</v>
      </c>
      <c r="AL28" s="221">
        <f>B79</f>
        <v>1</v>
      </c>
      <c r="AM28" t="s">
        <v>205</v>
      </c>
    </row>
    <row r="29" spans="1:39" s="1" customFormat="1" ht="14.25" x14ac:dyDescent="0.2">
      <c r="A29" s="28" t="s">
        <v>29</v>
      </c>
      <c r="B29" s="55">
        <v>0.4</v>
      </c>
      <c r="C29" s="28"/>
      <c r="D29" s="67" t="s">
        <v>156</v>
      </c>
      <c r="E29" s="66">
        <f>B36</f>
        <v>350</v>
      </c>
      <c r="F29" s="65" t="s">
        <v>202</v>
      </c>
      <c r="G29" t="s">
        <v>88</v>
      </c>
      <c r="H29" s="221">
        <f>B31</f>
        <v>0.4</v>
      </c>
      <c r="I29"/>
      <c r="J29" t="s">
        <v>88</v>
      </c>
      <c r="K29" s="221">
        <f>B31</f>
        <v>0.4</v>
      </c>
      <c r="L29"/>
      <c r="M29" s="74" t="s">
        <v>134</v>
      </c>
      <c r="N29" s="66">
        <f>B63</f>
        <v>2.5</v>
      </c>
      <c r="O29" s="74" t="s">
        <v>26</v>
      </c>
      <c r="P29"/>
      <c r="Q29" s="221"/>
      <c r="R29"/>
      <c r="S29"/>
      <c r="T29" s="221"/>
      <c r="U29"/>
      <c r="V29" s="74" t="s">
        <v>127</v>
      </c>
      <c r="W29" s="66">
        <v>2.5</v>
      </c>
      <c r="X29" s="74" t="s">
        <v>26</v>
      </c>
      <c r="Y29"/>
      <c r="Z29" s="221"/>
      <c r="AA29"/>
      <c r="AB29"/>
      <c r="AC29" s="221"/>
      <c r="AD29"/>
      <c r="AE29" s="74" t="s">
        <v>12</v>
      </c>
      <c r="AF29" s="66">
        <f>B81</f>
        <v>2.5</v>
      </c>
      <c r="AG29" s="74" t="s">
        <v>26</v>
      </c>
      <c r="AH29"/>
      <c r="AI29" s="221"/>
      <c r="AJ29"/>
      <c r="AK29"/>
      <c r="AL29" s="221"/>
      <c r="AM29"/>
    </row>
    <row r="30" spans="1:39" s="1" customFormat="1" ht="14.25" x14ac:dyDescent="0.2">
      <c r="A30" s="54" t="s">
        <v>99</v>
      </c>
      <c r="B30" s="55">
        <v>1</v>
      </c>
      <c r="C30" s="28"/>
      <c r="D30" s="63" t="s">
        <v>163</v>
      </c>
      <c r="E30" s="66">
        <f>B54</f>
        <v>0.77</v>
      </c>
      <c r="F30" s="65"/>
      <c r="G30" t="s">
        <v>99</v>
      </c>
      <c r="H30" s="221">
        <f>B30</f>
        <v>1</v>
      </c>
      <c r="I30"/>
      <c r="J30" t="s">
        <v>99</v>
      </c>
      <c r="K30" s="221">
        <f>B30</f>
        <v>1</v>
      </c>
      <c r="L30"/>
      <c r="M30" s="28" t="s">
        <v>135</v>
      </c>
      <c r="N30" s="32">
        <f>B61</f>
        <v>1</v>
      </c>
      <c r="O30" s="28" t="s">
        <v>205</v>
      </c>
      <c r="P30" t="s">
        <v>99</v>
      </c>
      <c r="Q30" s="221">
        <f>B30</f>
        <v>1</v>
      </c>
      <c r="R30"/>
      <c r="S30" t="s">
        <v>99</v>
      </c>
      <c r="T30" s="221">
        <f>B30</f>
        <v>1</v>
      </c>
      <c r="U30"/>
      <c r="V30" s="28" t="s">
        <v>129</v>
      </c>
      <c r="W30" s="32">
        <f>B70</f>
        <v>1</v>
      </c>
      <c r="X30" s="28" t="s">
        <v>205</v>
      </c>
      <c r="Y30" t="s">
        <v>99</v>
      </c>
      <c r="Z30" s="221">
        <f>B30</f>
        <v>1</v>
      </c>
      <c r="AA30"/>
      <c r="AB30" t="s">
        <v>99</v>
      </c>
      <c r="AC30" s="221">
        <f>B30</f>
        <v>1</v>
      </c>
      <c r="AD30"/>
      <c r="AE30" s="28" t="s">
        <v>15</v>
      </c>
      <c r="AF30" s="32">
        <f>B79</f>
        <v>1</v>
      </c>
      <c r="AG30" s="28" t="s">
        <v>205</v>
      </c>
      <c r="AH30" s="28" t="s">
        <v>16</v>
      </c>
      <c r="AI30" s="221">
        <f>B31</f>
        <v>0.4</v>
      </c>
      <c r="AJ30"/>
      <c r="AK30" s="28" t="s">
        <v>16</v>
      </c>
      <c r="AL30" s="221">
        <f>B31</f>
        <v>0.4</v>
      </c>
      <c r="AM30"/>
    </row>
    <row r="31" spans="1:39" s="1" customFormat="1" ht="14.25" x14ac:dyDescent="0.2">
      <c r="A31" s="54" t="s">
        <v>16</v>
      </c>
      <c r="B31" s="55">
        <v>0.4</v>
      </c>
      <c r="C31" s="28"/>
      <c r="D31" s="63" t="s">
        <v>164</v>
      </c>
      <c r="E31" s="66">
        <f>B55</f>
        <v>0.23</v>
      </c>
      <c r="F31" s="65"/>
      <c r="G31"/>
      <c r="H31" s="221"/>
      <c r="I31"/>
      <c r="J31"/>
      <c r="K31" s="221"/>
      <c r="L31"/>
      <c r="M31" s="28" t="s">
        <v>3</v>
      </c>
      <c r="N31" s="32">
        <f>B25</f>
        <v>1</v>
      </c>
      <c r="O31" s="28"/>
      <c r="P31"/>
      <c r="Q31" s="221"/>
      <c r="R31"/>
      <c r="S31"/>
      <c r="T31" s="221"/>
      <c r="U31"/>
      <c r="V31" s="28" t="s">
        <v>3</v>
      </c>
      <c r="W31" s="32">
        <f>B25</f>
        <v>1</v>
      </c>
      <c r="X31" s="28"/>
      <c r="Y31"/>
      <c r="Z31" s="221"/>
      <c r="AA31"/>
      <c r="AB31"/>
      <c r="AC31" s="221"/>
      <c r="AD31"/>
      <c r="AE31" s="28" t="s">
        <v>3</v>
      </c>
      <c r="AF31" s="32">
        <f>B25</f>
        <v>1</v>
      </c>
      <c r="AG31" s="28"/>
      <c r="AH31"/>
      <c r="AI31" s="221"/>
      <c r="AJ31"/>
      <c r="AK31"/>
      <c r="AL31" s="221"/>
      <c r="AM31"/>
    </row>
    <row r="32" spans="1:39" s="1" customFormat="1" ht="14.25" x14ac:dyDescent="0.2">
      <c r="A32" s="54" t="s">
        <v>31</v>
      </c>
      <c r="B32" s="52">
        <v>666666666</v>
      </c>
      <c r="C32" s="54" t="s">
        <v>32</v>
      </c>
      <c r="D32" s="63" t="s">
        <v>147</v>
      </c>
      <c r="E32" s="66">
        <f>B52</f>
        <v>49</v>
      </c>
      <c r="F32" s="65" t="s">
        <v>24</v>
      </c>
      <c r="G32" s="28" t="s">
        <v>160</v>
      </c>
      <c r="H32" s="221">
        <f>B50</f>
        <v>1.752</v>
      </c>
      <c r="I32" t="s">
        <v>203</v>
      </c>
      <c r="J32" s="28" t="s">
        <v>160</v>
      </c>
      <c r="K32" s="221">
        <f>B50</f>
        <v>1.752</v>
      </c>
      <c r="L32" t="s">
        <v>203</v>
      </c>
      <c r="M32" s="28" t="s">
        <v>27</v>
      </c>
      <c r="N32" s="32">
        <f>B26</f>
        <v>1</v>
      </c>
      <c r="O32" s="28"/>
      <c r="P32" t="s">
        <v>89</v>
      </c>
      <c r="Q32" s="221">
        <f>B58</f>
        <v>8</v>
      </c>
      <c r="R32" t="s">
        <v>203</v>
      </c>
      <c r="S32" t="s">
        <v>89</v>
      </c>
      <c r="T32" s="221">
        <f>B58</f>
        <v>8</v>
      </c>
      <c r="U32" t="s">
        <v>203</v>
      </c>
      <c r="V32" s="28" t="s">
        <v>27</v>
      </c>
      <c r="W32" s="32">
        <f>B26</f>
        <v>1</v>
      </c>
      <c r="X32" s="28"/>
      <c r="Y32" t="s">
        <v>89</v>
      </c>
      <c r="Z32" s="221">
        <f>B67</f>
        <v>8</v>
      </c>
      <c r="AA32" t="s">
        <v>203</v>
      </c>
      <c r="AB32" t="s">
        <v>89</v>
      </c>
      <c r="AC32" s="221">
        <f>B67</f>
        <v>8</v>
      </c>
      <c r="AD32" t="s">
        <v>203</v>
      </c>
      <c r="AE32" s="28" t="s">
        <v>27</v>
      </c>
      <c r="AF32" s="32">
        <f>B26</f>
        <v>1</v>
      </c>
      <c r="AG32" s="28"/>
      <c r="AH32" t="s">
        <v>89</v>
      </c>
      <c r="AI32" s="221">
        <f>B76</f>
        <v>8</v>
      </c>
      <c r="AJ32" t="s">
        <v>203</v>
      </c>
      <c r="AK32" t="s">
        <v>89</v>
      </c>
      <c r="AL32" s="221">
        <f>B76</f>
        <v>8</v>
      </c>
      <c r="AM32" t="s">
        <v>203</v>
      </c>
    </row>
    <row r="33" spans="1:39" s="1" customFormat="1" ht="14.25" x14ac:dyDescent="0.2">
      <c r="A33" s="38" t="s">
        <v>65</v>
      </c>
      <c r="B33" s="42">
        <v>0</v>
      </c>
      <c r="C33"/>
      <c r="D33" s="63" t="s">
        <v>146</v>
      </c>
      <c r="E33" s="66">
        <f>B53</f>
        <v>16</v>
      </c>
      <c r="F33" s="65" t="s">
        <v>24</v>
      </c>
      <c r="G33" t="s">
        <v>3</v>
      </c>
      <c r="H33" s="221">
        <f>B25</f>
        <v>1</v>
      </c>
      <c r="I33"/>
      <c r="J33" t="s">
        <v>3</v>
      </c>
      <c r="K33" s="221">
        <f>B25</f>
        <v>1</v>
      </c>
      <c r="L33"/>
      <c r="M33" s="28" t="s">
        <v>29</v>
      </c>
      <c r="N33" s="32">
        <f>B29</f>
        <v>0.4</v>
      </c>
      <c r="O33" s="28"/>
      <c r="P33" t="s">
        <v>3</v>
      </c>
      <c r="Q33" s="221">
        <f>B25</f>
        <v>1</v>
      </c>
      <c r="R33"/>
      <c r="S33" t="s">
        <v>3</v>
      </c>
      <c r="T33" s="221">
        <f>B25</f>
        <v>1</v>
      </c>
      <c r="U33"/>
      <c r="V33" s="28" t="s">
        <v>29</v>
      </c>
      <c r="W33" s="32">
        <f>B29</f>
        <v>0.4</v>
      </c>
      <c r="X33" s="28"/>
      <c r="Y33" t="s">
        <v>3</v>
      </c>
      <c r="Z33" s="221">
        <f>B25</f>
        <v>1</v>
      </c>
      <c r="AA33"/>
      <c r="AB33" t="s">
        <v>3</v>
      </c>
      <c r="AC33" s="221">
        <f>B25</f>
        <v>1</v>
      </c>
      <c r="AD33"/>
      <c r="AE33" s="28" t="s">
        <v>29</v>
      </c>
      <c r="AF33" s="32">
        <f>B29</f>
        <v>0.4</v>
      </c>
      <c r="AG33" s="28"/>
      <c r="AH33" t="s">
        <v>3</v>
      </c>
      <c r="AI33" s="221">
        <f>B25</f>
        <v>1</v>
      </c>
      <c r="AJ33"/>
      <c r="AK33" t="s">
        <v>3</v>
      </c>
      <c r="AL33" s="221">
        <f>B25</f>
        <v>1</v>
      </c>
      <c r="AM33"/>
    </row>
    <row r="34" spans="1:39" s="1" customFormat="1" ht="15" x14ac:dyDescent="0.2">
      <c r="A34" s="415" t="s">
        <v>7</v>
      </c>
      <c r="B34" s="415"/>
      <c r="C34" s="415"/>
      <c r="D34" s="67" t="s">
        <v>151</v>
      </c>
      <c r="E34" s="66">
        <f>B48</f>
        <v>2</v>
      </c>
      <c r="F34" s="65" t="s">
        <v>204</v>
      </c>
      <c r="G34" s="29" t="s">
        <v>27</v>
      </c>
      <c r="H34" s="222">
        <f>B26</f>
        <v>1</v>
      </c>
      <c r="I34" s="29"/>
      <c r="J34" s="29" t="s">
        <v>27</v>
      </c>
      <c r="K34" s="222">
        <f>B26</f>
        <v>1</v>
      </c>
      <c r="L34" s="29"/>
      <c r="M34" s="54" t="s">
        <v>99</v>
      </c>
      <c r="N34" s="32">
        <f>B30</f>
        <v>1</v>
      </c>
      <c r="O34" s="28"/>
      <c r="P34" s="29" t="s">
        <v>27</v>
      </c>
      <c r="Q34" s="222">
        <f>B26</f>
        <v>1</v>
      </c>
      <c r="R34" s="29"/>
      <c r="S34" s="29" t="s">
        <v>27</v>
      </c>
      <c r="T34" s="222">
        <f>B26</f>
        <v>1</v>
      </c>
      <c r="U34" s="29"/>
      <c r="V34" s="54" t="s">
        <v>99</v>
      </c>
      <c r="W34" s="32">
        <f>B30</f>
        <v>1</v>
      </c>
      <c r="X34" s="28"/>
      <c r="Y34" s="29" t="s">
        <v>27</v>
      </c>
      <c r="Z34" s="222">
        <f>B26</f>
        <v>1</v>
      </c>
      <c r="AA34" s="29"/>
      <c r="AB34" s="29" t="s">
        <v>27</v>
      </c>
      <c r="AC34" s="222">
        <f>B26</f>
        <v>1</v>
      </c>
      <c r="AD34" s="29"/>
      <c r="AE34" s="54" t="s">
        <v>99</v>
      </c>
      <c r="AF34" s="32">
        <f>B30</f>
        <v>1</v>
      </c>
      <c r="AG34" s="28"/>
      <c r="AH34" s="29" t="s">
        <v>27</v>
      </c>
      <c r="AI34" s="222">
        <f>B26</f>
        <v>1</v>
      </c>
      <c r="AJ34" s="29"/>
      <c r="AK34" s="29" t="s">
        <v>27</v>
      </c>
      <c r="AL34" s="222">
        <f>B26</f>
        <v>1</v>
      </c>
      <c r="AM34" s="29"/>
    </row>
    <row r="35" spans="1:39" x14ac:dyDescent="0.2">
      <c r="A35" s="40" t="s">
        <v>155</v>
      </c>
      <c r="B35" s="166">
        <v>350</v>
      </c>
      <c r="C35" s="40" t="s">
        <v>202</v>
      </c>
      <c r="D35" s="67" t="s">
        <v>150</v>
      </c>
      <c r="E35" s="66">
        <f>B49</f>
        <v>10</v>
      </c>
      <c r="F35" s="65" t="s">
        <v>204</v>
      </c>
      <c r="G35" s="28" t="s">
        <v>139</v>
      </c>
      <c r="H35" s="221">
        <f>B24</f>
        <v>1</v>
      </c>
      <c r="J35" s="28" t="s">
        <v>139</v>
      </c>
      <c r="K35" s="221">
        <f>B24</f>
        <v>1</v>
      </c>
      <c r="M35" s="54" t="s">
        <v>16</v>
      </c>
      <c r="N35" s="32">
        <f>B31</f>
        <v>0.4</v>
      </c>
      <c r="P35" s="28" t="s">
        <v>139</v>
      </c>
      <c r="Q35" s="221">
        <f>B24</f>
        <v>1</v>
      </c>
      <c r="S35" s="28" t="s">
        <v>139</v>
      </c>
      <c r="T35" s="221">
        <f>B24</f>
        <v>1</v>
      </c>
      <c r="V35" s="54" t="s">
        <v>16</v>
      </c>
      <c r="W35" s="32">
        <f>B31</f>
        <v>0.4</v>
      </c>
      <c r="Y35" s="28" t="s">
        <v>139</v>
      </c>
      <c r="Z35" s="221">
        <f>B24</f>
        <v>1</v>
      </c>
      <c r="AB35" s="28" t="s">
        <v>139</v>
      </c>
      <c r="AC35" s="221">
        <f>B24</f>
        <v>1</v>
      </c>
      <c r="AE35" s="54" t="s">
        <v>16</v>
      </c>
      <c r="AF35" s="32">
        <f>B31</f>
        <v>0.4</v>
      </c>
      <c r="AH35" s="28" t="s">
        <v>139</v>
      </c>
      <c r="AI35" s="221">
        <f>B24</f>
        <v>1</v>
      </c>
      <c r="AK35" s="28" t="s">
        <v>139</v>
      </c>
      <c r="AL35" s="221">
        <f>B24</f>
        <v>1</v>
      </c>
    </row>
    <row r="36" spans="1:39" x14ac:dyDescent="0.2">
      <c r="A36" s="40" t="s">
        <v>156</v>
      </c>
      <c r="B36" s="166">
        <v>350</v>
      </c>
      <c r="C36" s="40" t="s">
        <v>202</v>
      </c>
      <c r="D36" s="63" t="s">
        <v>149</v>
      </c>
      <c r="E36" s="66">
        <f>B47</f>
        <v>20</v>
      </c>
      <c r="F36" s="65" t="s">
        <v>26</v>
      </c>
      <c r="G36" s="28" t="s">
        <v>161</v>
      </c>
      <c r="H36" s="221">
        <f>B51</f>
        <v>16.399999999999999</v>
      </c>
      <c r="J36" s="28" t="s">
        <v>161</v>
      </c>
      <c r="K36" s="221">
        <f>B51</f>
        <v>16.399999999999999</v>
      </c>
      <c r="M36" s="28" t="s">
        <v>30</v>
      </c>
      <c r="N36" s="32">
        <f>B18</f>
        <v>1</v>
      </c>
      <c r="Q36" s="221"/>
      <c r="T36" s="221"/>
      <c r="V36" s="28" t="s">
        <v>30</v>
      </c>
      <c r="W36" s="32">
        <f>B18</f>
        <v>1</v>
      </c>
      <c r="Z36" s="221"/>
      <c r="AC36" s="221"/>
      <c r="AE36" s="28" t="s">
        <v>30</v>
      </c>
      <c r="AF36" s="32">
        <f>B18</f>
        <v>1</v>
      </c>
      <c r="AI36" s="221"/>
      <c r="AL36" s="221"/>
    </row>
    <row r="37" spans="1:39" x14ac:dyDescent="0.2">
      <c r="A37" s="40" t="s">
        <v>157</v>
      </c>
      <c r="B37" s="166">
        <v>350</v>
      </c>
      <c r="C37" s="40" t="s">
        <v>202</v>
      </c>
      <c r="D37" s="68" t="s">
        <v>148</v>
      </c>
      <c r="E37" s="69">
        <f>B46</f>
        <v>10</v>
      </c>
      <c r="F37" s="70" t="s">
        <v>26</v>
      </c>
      <c r="G37" t="s">
        <v>90</v>
      </c>
      <c r="H37" s="221">
        <f>B23</f>
        <v>1.1679999999999999</v>
      </c>
      <c r="J37" s="38" t="s">
        <v>141</v>
      </c>
      <c r="K37" s="221">
        <f>B17</f>
        <v>1</v>
      </c>
      <c r="M37" s="54" t="s">
        <v>31</v>
      </c>
      <c r="N37" s="53">
        <f>B32</f>
        <v>666666666</v>
      </c>
      <c r="O37" s="54" t="s">
        <v>32</v>
      </c>
      <c r="P37" s="30" t="s">
        <v>5</v>
      </c>
      <c r="Q37" s="221">
        <f>B23</f>
        <v>1.1679999999999999</v>
      </c>
      <c r="R37" t="s">
        <v>91</v>
      </c>
      <c r="S37" s="38" t="s">
        <v>141</v>
      </c>
      <c r="T37" s="221">
        <f>B17</f>
        <v>1</v>
      </c>
      <c r="V37" s="54" t="s">
        <v>31</v>
      </c>
      <c r="W37" s="53">
        <f>B32</f>
        <v>666666666</v>
      </c>
      <c r="X37" s="54" t="s">
        <v>32</v>
      </c>
      <c r="Y37" s="30" t="s">
        <v>5</v>
      </c>
      <c r="Z37" s="221">
        <f>B23</f>
        <v>1.1679999999999999</v>
      </c>
      <c r="AA37" t="s">
        <v>91</v>
      </c>
      <c r="AB37" s="38" t="s">
        <v>141</v>
      </c>
      <c r="AC37" s="221">
        <f>B17</f>
        <v>1</v>
      </c>
      <c r="AE37" s="54" t="s">
        <v>31</v>
      </c>
      <c r="AF37" s="53">
        <f>B32</f>
        <v>666666666</v>
      </c>
      <c r="AG37" s="54" t="s">
        <v>32</v>
      </c>
      <c r="AH37" s="30" t="s">
        <v>5</v>
      </c>
      <c r="AI37" s="221">
        <f>B23</f>
        <v>1.1679999999999999</v>
      </c>
      <c r="AJ37" t="s">
        <v>91</v>
      </c>
      <c r="AK37" s="38" t="s">
        <v>141</v>
      </c>
      <c r="AL37" s="221">
        <f>B17</f>
        <v>1</v>
      </c>
    </row>
    <row r="38" spans="1:39" x14ac:dyDescent="0.2">
      <c r="A38" s="40" t="s">
        <v>154</v>
      </c>
      <c r="B38" s="42">
        <v>24</v>
      </c>
      <c r="C38" s="40" t="s">
        <v>203</v>
      </c>
      <c r="D38" s="28" t="s">
        <v>125</v>
      </c>
      <c r="E38" s="32">
        <f>B43</f>
        <v>1</v>
      </c>
      <c r="F38" s="28" t="s">
        <v>205</v>
      </c>
      <c r="H38" s="221"/>
      <c r="J38" s="38" t="s">
        <v>142</v>
      </c>
      <c r="K38" s="221">
        <f>B18</f>
        <v>1</v>
      </c>
      <c r="M38" s="44" t="s">
        <v>98</v>
      </c>
      <c r="N38" s="43">
        <f>PEF!G2</f>
        <v>9520180.8385802973</v>
      </c>
      <c r="O38" s="28" t="s">
        <v>34</v>
      </c>
      <c r="Q38" s="221"/>
      <c r="S38" s="38" t="s">
        <v>142</v>
      </c>
      <c r="T38" s="221">
        <f>B18</f>
        <v>1</v>
      </c>
      <c r="V38" s="44" t="s">
        <v>98</v>
      </c>
      <c r="W38" s="43">
        <f>PEF!G2</f>
        <v>9520180.8385802973</v>
      </c>
      <c r="X38" s="28" t="s">
        <v>34</v>
      </c>
      <c r="AB38" s="38" t="s">
        <v>142</v>
      </c>
      <c r="AC38" s="221">
        <f>B18</f>
        <v>1</v>
      </c>
      <c r="AE38" s="44" t="s">
        <v>98</v>
      </c>
      <c r="AF38" s="43">
        <f>PEF!G2</f>
        <v>9520180.8385802973</v>
      </c>
      <c r="AG38" s="28" t="s">
        <v>34</v>
      </c>
      <c r="AI38" s="221"/>
      <c r="AK38" s="38" t="s">
        <v>142</v>
      </c>
      <c r="AL38" s="221">
        <f>B18</f>
        <v>1</v>
      </c>
    </row>
    <row r="39" spans="1:39" x14ac:dyDescent="0.2">
      <c r="A39" s="40" t="s">
        <v>158</v>
      </c>
      <c r="B39" s="42">
        <v>4</v>
      </c>
      <c r="C39" s="40" t="s">
        <v>203</v>
      </c>
      <c r="D39" s="28" t="s">
        <v>3</v>
      </c>
      <c r="E39" s="32">
        <f>B25</f>
        <v>1</v>
      </c>
      <c r="H39" s="221"/>
      <c r="J39" s="38" t="s">
        <v>143</v>
      </c>
      <c r="K39" s="221">
        <f>B19</f>
        <v>1</v>
      </c>
      <c r="M39" s="28" t="s">
        <v>33</v>
      </c>
      <c r="N39" s="43">
        <f>PEF!C2</f>
        <v>1365593623.3683286</v>
      </c>
      <c r="O39" s="28" t="s">
        <v>34</v>
      </c>
      <c r="Q39" s="221"/>
      <c r="S39" s="38" t="s">
        <v>143</v>
      </c>
      <c r="T39" s="221">
        <f>B19</f>
        <v>1</v>
      </c>
      <c r="V39" s="28" t="s">
        <v>33</v>
      </c>
      <c r="W39" s="43">
        <f>PEF!C2</f>
        <v>1365593623.3683286</v>
      </c>
      <c r="X39" s="28" t="s">
        <v>34</v>
      </c>
      <c r="AB39" s="38" t="s">
        <v>143</v>
      </c>
      <c r="AC39" s="221">
        <f>B19</f>
        <v>1</v>
      </c>
      <c r="AE39" s="28" t="s">
        <v>33</v>
      </c>
      <c r="AF39" s="43">
        <f>PEF!C2</f>
        <v>1365593623.3683286</v>
      </c>
      <c r="AG39" s="28" t="s">
        <v>34</v>
      </c>
      <c r="AI39" s="221"/>
      <c r="AK39" s="38" t="s">
        <v>143</v>
      </c>
      <c r="AL39" s="221">
        <f>B19</f>
        <v>1</v>
      </c>
    </row>
    <row r="40" spans="1:39" x14ac:dyDescent="0.2">
      <c r="A40" s="40" t="s">
        <v>159</v>
      </c>
      <c r="B40" s="42">
        <v>4</v>
      </c>
      <c r="C40" s="40" t="s">
        <v>203</v>
      </c>
      <c r="D40" s="28" t="s">
        <v>27</v>
      </c>
      <c r="E40" s="32">
        <f>B26</f>
        <v>1</v>
      </c>
      <c r="H40" s="221"/>
      <c r="J40" s="38" t="s">
        <v>144</v>
      </c>
      <c r="K40" s="221">
        <f>B20</f>
        <v>1</v>
      </c>
      <c r="M40" s="28" t="s">
        <v>102</v>
      </c>
      <c r="N40" s="32">
        <f>B22</f>
        <v>226.025409</v>
      </c>
      <c r="O40" s="28" t="s">
        <v>103</v>
      </c>
      <c r="Q40" s="221"/>
      <c r="S40" s="38" t="s">
        <v>144</v>
      </c>
      <c r="T40" s="221">
        <f>B20</f>
        <v>1</v>
      </c>
      <c r="V40" s="28" t="s">
        <v>102</v>
      </c>
      <c r="W40" s="32">
        <f>B22</f>
        <v>226.025409</v>
      </c>
      <c r="X40" s="28" t="s">
        <v>103</v>
      </c>
      <c r="AB40" s="38" t="s">
        <v>144</v>
      </c>
      <c r="AC40" s="221">
        <f>B20</f>
        <v>1</v>
      </c>
      <c r="AE40" s="28" t="s">
        <v>102</v>
      </c>
      <c r="AF40" s="32">
        <f>B22</f>
        <v>226.025409</v>
      </c>
      <c r="AG40" s="28" t="s">
        <v>103</v>
      </c>
      <c r="AI40" s="221"/>
      <c r="AK40" s="38" t="s">
        <v>144</v>
      </c>
      <c r="AL40" s="221">
        <f>B20</f>
        <v>1</v>
      </c>
    </row>
    <row r="41" spans="1:39" x14ac:dyDescent="0.2">
      <c r="A41" s="40" t="s">
        <v>152</v>
      </c>
      <c r="B41" s="42">
        <v>24</v>
      </c>
      <c r="C41" s="40" t="s">
        <v>203</v>
      </c>
      <c r="D41" s="28" t="s">
        <v>160</v>
      </c>
      <c r="E41" s="32">
        <f>B50</f>
        <v>1.752</v>
      </c>
      <c r="F41" s="28" t="s">
        <v>203</v>
      </c>
      <c r="H41" s="221"/>
      <c r="J41" s="38" t="s">
        <v>145</v>
      </c>
      <c r="K41" s="221">
        <f>B21</f>
        <v>1</v>
      </c>
      <c r="M41" s="28" t="s">
        <v>100</v>
      </c>
      <c r="N41" s="207">
        <v>27.027027027027</v>
      </c>
      <c r="O41" s="28" t="s">
        <v>101</v>
      </c>
      <c r="Q41" s="221"/>
      <c r="S41" s="38" t="s">
        <v>145</v>
      </c>
      <c r="T41" s="221">
        <f>B21</f>
        <v>1</v>
      </c>
      <c r="V41" s="28" t="s">
        <v>100</v>
      </c>
      <c r="W41" s="207">
        <v>27.027027027027</v>
      </c>
      <c r="X41" s="28" t="s">
        <v>101</v>
      </c>
      <c r="AB41" s="38" t="s">
        <v>145</v>
      </c>
      <c r="AC41" s="221">
        <f>B21</f>
        <v>1</v>
      </c>
      <c r="AE41" s="28" t="s">
        <v>100</v>
      </c>
      <c r="AF41" s="207">
        <v>27.027027027027</v>
      </c>
      <c r="AG41" s="28" t="s">
        <v>101</v>
      </c>
      <c r="AI41" s="221"/>
      <c r="AK41" s="38" t="s">
        <v>145</v>
      </c>
      <c r="AL41" s="221">
        <f>B21</f>
        <v>1</v>
      </c>
    </row>
    <row r="42" spans="1:39" x14ac:dyDescent="0.2">
      <c r="A42" s="40" t="s">
        <v>153</v>
      </c>
      <c r="B42" s="42">
        <v>24</v>
      </c>
      <c r="C42" s="40" t="s">
        <v>203</v>
      </c>
      <c r="D42" s="28" t="s">
        <v>161</v>
      </c>
      <c r="E42" s="32">
        <f>B51</f>
        <v>16.399999999999999</v>
      </c>
      <c r="F42" s="28" t="s">
        <v>203</v>
      </c>
      <c r="G42" s="28" t="s">
        <v>100</v>
      </c>
      <c r="H42" s="207">
        <v>27.027027027027</v>
      </c>
      <c r="I42" s="28" t="s">
        <v>101</v>
      </c>
      <c r="J42" s="28" t="s">
        <v>100</v>
      </c>
      <c r="K42" s="207">
        <v>27.027027027027</v>
      </c>
      <c r="L42" s="28" t="s">
        <v>101</v>
      </c>
      <c r="M42" s="28" t="s">
        <v>104</v>
      </c>
      <c r="N42" s="32">
        <f>2.8*(10^(-15))</f>
        <v>2.8000000000000001E-15</v>
      </c>
      <c r="P42" s="28" t="s">
        <v>100</v>
      </c>
      <c r="Q42" s="207">
        <v>27.027027027027</v>
      </c>
      <c r="R42" s="28" t="s">
        <v>101</v>
      </c>
      <c r="S42" s="28" t="s">
        <v>100</v>
      </c>
      <c r="T42" s="207">
        <v>27.027027027027</v>
      </c>
      <c r="U42" s="28" t="s">
        <v>101</v>
      </c>
      <c r="V42" s="28" t="s">
        <v>104</v>
      </c>
      <c r="W42" s="32">
        <f>2.8*(10^(-15))</f>
        <v>2.8000000000000001E-15</v>
      </c>
      <c r="Y42" s="28" t="s">
        <v>100</v>
      </c>
      <c r="Z42" s="207">
        <v>27.027027027027</v>
      </c>
      <c r="AA42" s="28" t="s">
        <v>101</v>
      </c>
      <c r="AB42" s="28" t="s">
        <v>100</v>
      </c>
      <c r="AC42" s="207">
        <v>27.027027027027</v>
      </c>
      <c r="AD42" s="28" t="s">
        <v>101</v>
      </c>
      <c r="AE42" s="28" t="s">
        <v>104</v>
      </c>
      <c r="AF42" s="32">
        <f>2.8*(10^(-15))</f>
        <v>2.8000000000000001E-15</v>
      </c>
      <c r="AH42" s="28" t="s">
        <v>100</v>
      </c>
      <c r="AI42" s="207">
        <v>27.027027027027</v>
      </c>
      <c r="AJ42" s="28" t="s">
        <v>101</v>
      </c>
      <c r="AK42" s="28" t="s">
        <v>100</v>
      </c>
      <c r="AL42" s="207">
        <v>27.027027027027</v>
      </c>
      <c r="AM42" s="28" t="s">
        <v>101</v>
      </c>
    </row>
    <row r="43" spans="1:39" x14ac:dyDescent="0.2">
      <c r="A43" s="40" t="s">
        <v>125</v>
      </c>
      <c r="B43" s="42">
        <v>1</v>
      </c>
      <c r="C43" s="40" t="s">
        <v>10</v>
      </c>
      <c r="D43" s="28" t="s">
        <v>29</v>
      </c>
      <c r="E43" s="32">
        <f>B29</f>
        <v>0.4</v>
      </c>
      <c r="G43" s="28" t="s">
        <v>102</v>
      </c>
      <c r="H43" s="32">
        <f>B22</f>
        <v>226.025409</v>
      </c>
      <c r="I43" s="28" t="s">
        <v>103</v>
      </c>
      <c r="J43" s="28" t="s">
        <v>102</v>
      </c>
      <c r="K43" s="32">
        <f>B22</f>
        <v>226.025409</v>
      </c>
      <c r="L43" s="28" t="s">
        <v>103</v>
      </c>
      <c r="P43" s="28" t="s">
        <v>102</v>
      </c>
      <c r="Q43" s="32">
        <f>B22</f>
        <v>226.025409</v>
      </c>
      <c r="R43" s="28" t="s">
        <v>103</v>
      </c>
      <c r="S43" s="28" t="s">
        <v>102</v>
      </c>
      <c r="T43" s="32">
        <f>B22</f>
        <v>226.025409</v>
      </c>
      <c r="U43" s="28" t="s">
        <v>103</v>
      </c>
      <c r="Y43" s="28" t="s">
        <v>102</v>
      </c>
      <c r="Z43" s="32">
        <f>B22</f>
        <v>226.025409</v>
      </c>
      <c r="AA43" s="28" t="s">
        <v>103</v>
      </c>
      <c r="AB43" s="28" t="s">
        <v>102</v>
      </c>
      <c r="AC43" s="32">
        <f>B22</f>
        <v>226.025409</v>
      </c>
      <c r="AD43" s="28" t="s">
        <v>103</v>
      </c>
      <c r="AH43" s="28" t="s">
        <v>102</v>
      </c>
      <c r="AI43" s="32">
        <f>B22</f>
        <v>226.025409</v>
      </c>
      <c r="AJ43" s="28" t="s">
        <v>103</v>
      </c>
      <c r="AK43" s="28" t="s">
        <v>102</v>
      </c>
      <c r="AL43" s="32">
        <f>B22</f>
        <v>226.025409</v>
      </c>
      <c r="AM43" s="28" t="s">
        <v>103</v>
      </c>
    </row>
    <row r="44" spans="1:39" x14ac:dyDescent="0.2">
      <c r="A44" s="40" t="s">
        <v>146</v>
      </c>
      <c r="B44" s="42">
        <v>16</v>
      </c>
      <c r="C44" s="40" t="s">
        <v>120</v>
      </c>
      <c r="D44" s="54" t="s">
        <v>99</v>
      </c>
      <c r="E44" s="32">
        <f>B30</f>
        <v>1</v>
      </c>
      <c r="G44" s="28" t="s">
        <v>104</v>
      </c>
      <c r="H44" s="32">
        <f>2.8*(10^(-12))</f>
        <v>2.7999999999999998E-12</v>
      </c>
      <c r="I44" s="28"/>
      <c r="J44" s="28" t="s">
        <v>104</v>
      </c>
      <c r="K44" s="32">
        <f>2.8*(10^(-12))</f>
        <v>2.7999999999999998E-12</v>
      </c>
      <c r="L44" s="28"/>
      <c r="P44" s="28" t="s">
        <v>104</v>
      </c>
      <c r="Q44" s="32">
        <f>2.8*(10^(-12))</f>
        <v>2.7999999999999998E-12</v>
      </c>
      <c r="R44" s="28"/>
      <c r="S44" s="28" t="s">
        <v>104</v>
      </c>
      <c r="T44" s="32">
        <f>2.8*(10^(-12))</f>
        <v>2.7999999999999998E-12</v>
      </c>
      <c r="U44" s="28"/>
      <c r="Y44" s="28" t="s">
        <v>104</v>
      </c>
      <c r="Z44" s="32">
        <f>2.8*(10^(-12))</f>
        <v>2.7999999999999998E-12</v>
      </c>
      <c r="AA44" s="28"/>
      <c r="AB44" s="28" t="s">
        <v>104</v>
      </c>
      <c r="AC44" s="32">
        <f>2.8*(10^(-12))</f>
        <v>2.7999999999999998E-12</v>
      </c>
      <c r="AD44" s="28"/>
      <c r="AH44" s="28" t="s">
        <v>104</v>
      </c>
      <c r="AI44" s="32">
        <f>2.8*(10^(-12))</f>
        <v>2.7999999999999998E-12</v>
      </c>
      <c r="AJ44" s="28"/>
      <c r="AK44" s="28" t="s">
        <v>104</v>
      </c>
      <c r="AL44" s="32">
        <f>2.8*(10^(-12))</f>
        <v>2.7999999999999998E-12</v>
      </c>
      <c r="AM44" s="28"/>
    </row>
    <row r="45" spans="1:39" x14ac:dyDescent="0.2">
      <c r="A45" s="40" t="s">
        <v>147</v>
      </c>
      <c r="B45" s="42">
        <v>49</v>
      </c>
      <c r="C45" s="40" t="s">
        <v>120</v>
      </c>
      <c r="D45" s="54" t="s">
        <v>16</v>
      </c>
      <c r="E45" s="32">
        <f>B31</f>
        <v>0.4</v>
      </c>
      <c r="G45" s="28" t="s">
        <v>104</v>
      </c>
      <c r="H45" s="32">
        <f>2.8*(10^(-15))</f>
        <v>2.8000000000000001E-15</v>
      </c>
      <c r="J45" s="28" t="s">
        <v>104</v>
      </c>
      <c r="K45" s="32">
        <f>2.8*(10^(-15))</f>
        <v>2.8000000000000001E-15</v>
      </c>
      <c r="P45" s="28" t="s">
        <v>104</v>
      </c>
      <c r="Q45" s="32">
        <f>2.8*(10^(-15))</f>
        <v>2.8000000000000001E-15</v>
      </c>
      <c r="S45" s="28" t="s">
        <v>104</v>
      </c>
      <c r="T45" s="32">
        <f>2.8*(10^(-15))</f>
        <v>2.8000000000000001E-15</v>
      </c>
      <c r="Y45" s="28" t="s">
        <v>104</v>
      </c>
      <c r="Z45" s="32">
        <f>2.8*(10^(-15))</f>
        <v>2.8000000000000001E-15</v>
      </c>
      <c r="AB45" s="28" t="s">
        <v>104</v>
      </c>
      <c r="AC45" s="32">
        <f>2.8*(10^(-15))</f>
        <v>2.8000000000000001E-15</v>
      </c>
      <c r="AH45" s="28" t="s">
        <v>104</v>
      </c>
      <c r="AI45" s="32">
        <f>2.8*(10^(-15))</f>
        <v>2.8000000000000001E-15</v>
      </c>
      <c r="AK45" s="28" t="s">
        <v>104</v>
      </c>
      <c r="AL45" s="32">
        <f>2.8*(10^(-15))</f>
        <v>2.8000000000000001E-15</v>
      </c>
    </row>
    <row r="46" spans="1:39" x14ac:dyDescent="0.2">
      <c r="A46" s="40" t="s">
        <v>148</v>
      </c>
      <c r="B46" s="42">
        <v>10</v>
      </c>
      <c r="C46" s="40" t="s">
        <v>121</v>
      </c>
      <c r="D46" s="28" t="s">
        <v>30</v>
      </c>
      <c r="E46" s="32">
        <f>B18</f>
        <v>1</v>
      </c>
      <c r="Z46" s="221"/>
      <c r="AC46" s="221"/>
    </row>
    <row r="47" spans="1:39" x14ac:dyDescent="0.2">
      <c r="A47" s="40" t="s">
        <v>149</v>
      </c>
      <c r="B47" s="42">
        <v>20</v>
      </c>
      <c r="C47" s="40" t="s">
        <v>121</v>
      </c>
      <c r="D47" s="54" t="s">
        <v>31</v>
      </c>
      <c r="E47" s="53">
        <f>B32</f>
        <v>666666666</v>
      </c>
      <c r="F47" s="54" t="s">
        <v>32</v>
      </c>
      <c r="G47" s="343">
        <f>E6/(0.0000000662)</f>
        <v>1.219148866246711E-6</v>
      </c>
      <c r="H47" s="343"/>
      <c r="I47" s="343"/>
    </row>
    <row r="48" spans="1:39" x14ac:dyDescent="0.2">
      <c r="A48" s="40" t="s">
        <v>151</v>
      </c>
      <c r="B48" s="55">
        <v>2</v>
      </c>
      <c r="C48" s="28" t="s">
        <v>204</v>
      </c>
      <c r="D48" s="44" t="s">
        <v>98</v>
      </c>
      <c r="E48" s="43">
        <f>PEF!E2</f>
        <v>9520180.8385802973</v>
      </c>
      <c r="F48" s="28" t="s">
        <v>34</v>
      </c>
      <c r="G48" s="343"/>
      <c r="H48" s="343"/>
      <c r="I48" s="343"/>
    </row>
    <row r="49" spans="1:9" x14ac:dyDescent="0.2">
      <c r="A49" s="40" t="s">
        <v>150</v>
      </c>
      <c r="B49" s="55">
        <v>10</v>
      </c>
      <c r="C49" s="28" t="s">
        <v>204</v>
      </c>
      <c r="D49" s="28" t="s">
        <v>33</v>
      </c>
      <c r="E49" s="43">
        <f>PEF!C2</f>
        <v>1365593623.3683286</v>
      </c>
      <c r="F49" s="28" t="s">
        <v>34</v>
      </c>
      <c r="G49" s="343"/>
      <c r="H49" s="343"/>
      <c r="I49" s="343"/>
    </row>
    <row r="50" spans="1:9" x14ac:dyDescent="0.2">
      <c r="A50" s="28" t="s">
        <v>160</v>
      </c>
      <c r="B50" s="55">
        <v>1.752</v>
      </c>
      <c r="C50" s="28" t="s">
        <v>203</v>
      </c>
      <c r="D50" s="28" t="s">
        <v>102</v>
      </c>
      <c r="E50" s="32">
        <f>B22</f>
        <v>226.025409</v>
      </c>
      <c r="F50" s="28" t="s">
        <v>103</v>
      </c>
      <c r="G50" s="343">
        <f>E17*0.037</f>
        <v>5.6094917070639665E-4</v>
      </c>
      <c r="H50" s="343"/>
      <c r="I50" s="343"/>
    </row>
    <row r="51" spans="1:9" x14ac:dyDescent="0.2">
      <c r="A51" s="28" t="s">
        <v>161</v>
      </c>
      <c r="B51" s="55">
        <v>16.399999999999999</v>
      </c>
      <c r="C51" s="28" t="s">
        <v>203</v>
      </c>
      <c r="D51" s="28" t="s">
        <v>100</v>
      </c>
      <c r="E51" s="207">
        <v>27.027027027027</v>
      </c>
      <c r="F51" s="28" t="s">
        <v>101</v>
      </c>
      <c r="G51" s="343">
        <f>E18*0.037</f>
        <v>2.9647832176966664E-6</v>
      </c>
    </row>
    <row r="52" spans="1:9" x14ac:dyDescent="0.2">
      <c r="A52" s="28" t="s">
        <v>147</v>
      </c>
      <c r="B52" s="55">
        <v>49</v>
      </c>
      <c r="C52" s="28" t="s">
        <v>24</v>
      </c>
      <c r="D52" s="28" t="s">
        <v>104</v>
      </c>
      <c r="E52" s="32">
        <f>2.8*(10^(-15))</f>
        <v>2.8000000000000001E-15</v>
      </c>
      <c r="G52" s="343">
        <f>E19*0.037</f>
        <v>4.2527438558191986E-4</v>
      </c>
    </row>
    <row r="53" spans="1:9" x14ac:dyDescent="0.2">
      <c r="A53" s="28" t="s">
        <v>146</v>
      </c>
      <c r="B53" s="55">
        <v>16</v>
      </c>
      <c r="C53" s="28" t="s">
        <v>24</v>
      </c>
      <c r="G53" s="343">
        <f>E20*0.037</f>
        <v>5.7081492173498012E-2</v>
      </c>
    </row>
    <row r="54" spans="1:9" x14ac:dyDescent="0.2">
      <c r="A54" s="28" t="s">
        <v>163</v>
      </c>
      <c r="B54" s="55">
        <v>0.77</v>
      </c>
      <c r="C54" s="28"/>
      <c r="F54" s="31" t="s">
        <v>95</v>
      </c>
    </row>
    <row r="55" spans="1:9" x14ac:dyDescent="0.2">
      <c r="A55" s="28" t="s">
        <v>164</v>
      </c>
      <c r="B55" s="55">
        <v>0.23</v>
      </c>
      <c r="C55" s="28"/>
      <c r="F55" s="31" t="s">
        <v>96</v>
      </c>
    </row>
    <row r="56" spans="1:9" ht="15" x14ac:dyDescent="0.2">
      <c r="A56" s="410" t="s">
        <v>180</v>
      </c>
      <c r="B56" s="410"/>
      <c r="C56" s="410"/>
      <c r="F56" s="31" t="s">
        <v>97</v>
      </c>
    </row>
    <row r="57" spans="1:9" x14ac:dyDescent="0.2">
      <c r="A57" s="40" t="s">
        <v>133</v>
      </c>
      <c r="B57" s="166">
        <v>250</v>
      </c>
      <c r="C57" s="40" t="s">
        <v>202</v>
      </c>
    </row>
    <row r="58" spans="1:9" x14ac:dyDescent="0.2">
      <c r="A58" s="40" t="s">
        <v>122</v>
      </c>
      <c r="B58" s="42">
        <v>8</v>
      </c>
      <c r="C58" s="40" t="s">
        <v>203</v>
      </c>
    </row>
    <row r="59" spans="1:9" x14ac:dyDescent="0.2">
      <c r="A59" s="40" t="s">
        <v>185</v>
      </c>
      <c r="B59" s="42">
        <v>4</v>
      </c>
      <c r="C59" s="40" t="s">
        <v>203</v>
      </c>
    </row>
    <row r="60" spans="1:9" x14ac:dyDescent="0.2">
      <c r="A60" s="40" t="s">
        <v>186</v>
      </c>
      <c r="B60" s="42">
        <v>4</v>
      </c>
      <c r="C60" s="40" t="s">
        <v>203</v>
      </c>
    </row>
    <row r="61" spans="1:9" x14ac:dyDescent="0.2">
      <c r="A61" s="40" t="s">
        <v>135</v>
      </c>
      <c r="B61" s="42">
        <v>1</v>
      </c>
      <c r="C61" s="40" t="s">
        <v>10</v>
      </c>
    </row>
    <row r="62" spans="1:9" x14ac:dyDescent="0.2">
      <c r="A62" s="40" t="s">
        <v>136</v>
      </c>
      <c r="B62" s="42">
        <v>49</v>
      </c>
      <c r="C62" s="40" t="s">
        <v>120</v>
      </c>
    </row>
    <row r="63" spans="1:9" x14ac:dyDescent="0.2">
      <c r="A63" s="40" t="s">
        <v>134</v>
      </c>
      <c r="B63" s="42">
        <v>2.5</v>
      </c>
      <c r="C63" s="40" t="s">
        <v>121</v>
      </c>
    </row>
    <row r="64" spans="1:9" x14ac:dyDescent="0.2">
      <c r="A64" s="40" t="s">
        <v>137</v>
      </c>
      <c r="B64" s="42">
        <v>2</v>
      </c>
      <c r="C64" s="40" t="s">
        <v>204</v>
      </c>
    </row>
    <row r="65" spans="1:3" ht="15" x14ac:dyDescent="0.2">
      <c r="A65" s="409" t="s">
        <v>181</v>
      </c>
      <c r="B65" s="409"/>
      <c r="C65" s="409"/>
    </row>
    <row r="66" spans="1:3" x14ac:dyDescent="0.2">
      <c r="A66" s="40" t="s">
        <v>128</v>
      </c>
      <c r="B66" s="166">
        <v>225</v>
      </c>
      <c r="C66" s="40" t="s">
        <v>202</v>
      </c>
    </row>
    <row r="67" spans="1:3" x14ac:dyDescent="0.2">
      <c r="A67" s="40" t="s">
        <v>122</v>
      </c>
      <c r="B67" s="42">
        <v>8</v>
      </c>
      <c r="C67" s="40" t="s">
        <v>203</v>
      </c>
    </row>
    <row r="68" spans="1:3" x14ac:dyDescent="0.2">
      <c r="A68" s="40" t="s">
        <v>183</v>
      </c>
      <c r="B68" s="42">
        <v>4</v>
      </c>
      <c r="C68" s="40" t="s">
        <v>203</v>
      </c>
    </row>
    <row r="69" spans="1:3" x14ac:dyDescent="0.2">
      <c r="A69" s="40" t="s">
        <v>184</v>
      </c>
      <c r="B69" s="42">
        <v>4</v>
      </c>
      <c r="C69" s="40" t="s">
        <v>203</v>
      </c>
    </row>
    <row r="70" spans="1:3" x14ac:dyDescent="0.2">
      <c r="A70" s="40" t="s">
        <v>129</v>
      </c>
      <c r="B70" s="42">
        <v>1</v>
      </c>
      <c r="C70" s="40" t="s">
        <v>10</v>
      </c>
    </row>
    <row r="71" spans="1:3" x14ac:dyDescent="0.2">
      <c r="A71" s="40" t="s">
        <v>130</v>
      </c>
      <c r="B71" s="42">
        <v>49</v>
      </c>
      <c r="C71" s="40" t="s">
        <v>120</v>
      </c>
    </row>
    <row r="72" spans="1:3" x14ac:dyDescent="0.2">
      <c r="A72" s="40" t="s">
        <v>127</v>
      </c>
      <c r="B72" s="42">
        <v>2.5</v>
      </c>
      <c r="C72" s="40" t="s">
        <v>121</v>
      </c>
    </row>
    <row r="73" spans="1:3" x14ac:dyDescent="0.2">
      <c r="A73" s="40" t="s">
        <v>131</v>
      </c>
      <c r="B73" s="42">
        <v>2</v>
      </c>
      <c r="C73" s="40" t="s">
        <v>204</v>
      </c>
    </row>
    <row r="74" spans="1:3" ht="15" x14ac:dyDescent="0.2">
      <c r="A74" s="408" t="s">
        <v>182</v>
      </c>
      <c r="B74" s="408"/>
      <c r="C74" s="408"/>
    </row>
    <row r="75" spans="1:3" x14ac:dyDescent="0.2">
      <c r="A75" s="40" t="s">
        <v>13</v>
      </c>
      <c r="B75" s="166">
        <v>250</v>
      </c>
      <c r="C75" s="40" t="s">
        <v>202</v>
      </c>
    </row>
    <row r="76" spans="1:3" x14ac:dyDescent="0.2">
      <c r="A76" s="40" t="s">
        <v>122</v>
      </c>
      <c r="B76" s="42">
        <v>8</v>
      </c>
      <c r="C76" s="40" t="s">
        <v>203</v>
      </c>
    </row>
    <row r="77" spans="1:3" x14ac:dyDescent="0.2">
      <c r="A77" s="40" t="s">
        <v>123</v>
      </c>
      <c r="B77" s="42">
        <v>4</v>
      </c>
      <c r="C77" s="40" t="s">
        <v>203</v>
      </c>
    </row>
    <row r="78" spans="1:3" x14ac:dyDescent="0.2">
      <c r="A78" s="40" t="s">
        <v>124</v>
      </c>
      <c r="B78" s="42">
        <v>4</v>
      </c>
      <c r="C78" s="40" t="s">
        <v>203</v>
      </c>
    </row>
    <row r="79" spans="1:3" x14ac:dyDescent="0.2">
      <c r="A79" s="40" t="s">
        <v>15</v>
      </c>
      <c r="B79" s="42">
        <v>1</v>
      </c>
      <c r="C79" s="40" t="s">
        <v>10</v>
      </c>
    </row>
    <row r="80" spans="1:3" x14ac:dyDescent="0.2">
      <c r="A80" s="40" t="s">
        <v>17</v>
      </c>
      <c r="B80" s="42">
        <v>49</v>
      </c>
      <c r="C80" s="40" t="s">
        <v>120</v>
      </c>
    </row>
    <row r="81" spans="1:3" x14ac:dyDescent="0.2">
      <c r="A81" s="40" t="s">
        <v>12</v>
      </c>
      <c r="B81" s="42">
        <v>2.5</v>
      </c>
      <c r="C81" s="40" t="s">
        <v>121</v>
      </c>
    </row>
    <row r="82" spans="1:3" x14ac:dyDescent="0.2">
      <c r="A82" s="40" t="s">
        <v>18</v>
      </c>
      <c r="B82" s="42">
        <v>3</v>
      </c>
      <c r="C82" s="40" t="s">
        <v>204</v>
      </c>
    </row>
    <row r="105" spans="1:1" x14ac:dyDescent="0.2">
      <c r="A105" s="28"/>
    </row>
    <row r="106" spans="1:1" x14ac:dyDescent="0.2">
      <c r="A106" s="28"/>
    </row>
  </sheetData>
  <mergeCells count="18">
    <mergeCell ref="J1:L1"/>
    <mergeCell ref="M1:O1"/>
    <mergeCell ref="A34:C34"/>
    <mergeCell ref="A56:C56"/>
    <mergeCell ref="A65:C65"/>
    <mergeCell ref="A74:C74"/>
    <mergeCell ref="D1:F1"/>
    <mergeCell ref="G1:I1"/>
    <mergeCell ref="A1:C1"/>
    <mergeCell ref="A2:C5"/>
    <mergeCell ref="AK1:AM1"/>
    <mergeCell ref="P1:R1"/>
    <mergeCell ref="S1:U1"/>
    <mergeCell ref="V1:X1"/>
    <mergeCell ref="Y1:AA1"/>
    <mergeCell ref="AB1:AD1"/>
    <mergeCell ref="AE1:AG1"/>
    <mergeCell ref="AH1:AJ1"/>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06"/>
  <sheetViews>
    <sheetView zoomScale="80" zoomScaleNormal="80" workbookViewId="0">
      <pane xSplit="3" ySplit="1" topLeftCell="D2" activePane="bottomRight" state="frozen"/>
      <selection pane="topRight" activeCell="D1" sqref="D1"/>
      <selection pane="bottomLeft" activeCell="A2" sqref="A2"/>
      <selection pane="bottomRight" sqref="A1:C1"/>
    </sheetView>
  </sheetViews>
  <sheetFormatPr defaultRowHeight="12.75" x14ac:dyDescent="0.2"/>
  <cols>
    <col min="1" max="1" width="13.7109375" bestFit="1" customWidth="1"/>
    <col min="2" max="2" width="9.28515625" bestFit="1" customWidth="1"/>
    <col min="3" max="3" width="21" bestFit="1" customWidth="1"/>
    <col min="4" max="4" width="12.28515625" style="28" bestFit="1" customWidth="1"/>
    <col min="5" max="5" width="9.28515625" style="32" bestFit="1" customWidth="1"/>
    <col min="6" max="6" width="20.5703125" style="28" bestFit="1" customWidth="1"/>
    <col min="7" max="7" width="13.7109375" bestFit="1" customWidth="1"/>
    <col min="8" max="8" width="9.28515625" bestFit="1" customWidth="1"/>
    <col min="9" max="9" width="21" bestFit="1" customWidth="1"/>
    <col min="10" max="10" width="13.7109375" bestFit="1" customWidth="1"/>
    <col min="11" max="11" width="9.28515625" bestFit="1" customWidth="1"/>
    <col min="12" max="12" width="21" bestFit="1" customWidth="1"/>
    <col min="13" max="13" width="12.28515625" style="28" bestFit="1" customWidth="1"/>
    <col min="14" max="14" width="9.28515625" style="32" bestFit="1" customWidth="1"/>
    <col min="15" max="15" width="20.5703125" style="28" bestFit="1" customWidth="1"/>
    <col min="16" max="16" width="13.7109375" bestFit="1" customWidth="1"/>
    <col min="17" max="17" width="9.28515625" bestFit="1" customWidth="1"/>
    <col min="18" max="18" width="21" bestFit="1" customWidth="1"/>
    <col min="19" max="19" width="13.7109375" bestFit="1" customWidth="1"/>
    <col min="20" max="20" width="9.28515625" bestFit="1" customWidth="1"/>
    <col min="21" max="21" width="21" bestFit="1" customWidth="1"/>
    <col min="22" max="22" width="12.28515625" style="28" bestFit="1" customWidth="1"/>
    <col min="23" max="23" width="9.28515625" style="28" bestFit="1" customWidth="1"/>
    <col min="24" max="24" width="20.5703125" style="28" bestFit="1" customWidth="1"/>
    <col min="25" max="25" width="13.7109375" bestFit="1" customWidth="1"/>
    <col min="26" max="26" width="9.28515625" bestFit="1" customWidth="1"/>
    <col min="27" max="27" width="21" bestFit="1" customWidth="1"/>
    <col min="28" max="28" width="13.7109375" bestFit="1" customWidth="1"/>
    <col min="29" max="29" width="9.28515625" bestFit="1" customWidth="1"/>
    <col min="30" max="30" width="21" bestFit="1" customWidth="1"/>
    <col min="31" max="31" width="12.28515625" style="28" bestFit="1" customWidth="1"/>
    <col min="32" max="32" width="9.28515625" style="32" bestFit="1" customWidth="1"/>
    <col min="33" max="33" width="20.5703125" style="28" bestFit="1" customWidth="1"/>
    <col min="34" max="34" width="13.7109375" bestFit="1" customWidth="1"/>
    <col min="35" max="35" width="9.28515625" bestFit="1" customWidth="1"/>
    <col min="36" max="36" width="21" bestFit="1" customWidth="1"/>
    <col min="37" max="37" width="13.7109375" bestFit="1" customWidth="1"/>
    <col min="38" max="38" width="9.28515625" bestFit="1" customWidth="1"/>
    <col min="39" max="39" width="21" bestFit="1" customWidth="1"/>
  </cols>
  <sheetData>
    <row r="1" spans="1:39" ht="21.75" thickTop="1" thickBot="1" x14ac:dyDescent="0.3">
      <c r="A1" s="396" t="s">
        <v>20</v>
      </c>
      <c r="B1" s="397"/>
      <c r="C1" s="398"/>
      <c r="D1" s="414" t="s">
        <v>171</v>
      </c>
      <c r="E1" s="412"/>
      <c r="F1" s="413"/>
      <c r="G1" s="411" t="s">
        <v>187</v>
      </c>
      <c r="H1" s="412"/>
      <c r="I1" s="413"/>
      <c r="J1" s="411" t="s">
        <v>188</v>
      </c>
      <c r="K1" s="412"/>
      <c r="L1" s="413"/>
      <c r="M1" s="399" t="s">
        <v>172</v>
      </c>
      <c r="N1" s="400"/>
      <c r="O1" s="401"/>
      <c r="P1" s="399" t="s">
        <v>189</v>
      </c>
      <c r="Q1" s="400"/>
      <c r="R1" s="401"/>
      <c r="S1" s="399" t="s">
        <v>168</v>
      </c>
      <c r="T1" s="400"/>
      <c r="U1" s="401"/>
      <c r="V1" s="402" t="s">
        <v>173</v>
      </c>
      <c r="W1" s="403"/>
      <c r="X1" s="404"/>
      <c r="Y1" s="402" t="s">
        <v>190</v>
      </c>
      <c r="Z1" s="403"/>
      <c r="AA1" s="404"/>
      <c r="AB1" s="402" t="s">
        <v>169</v>
      </c>
      <c r="AC1" s="403"/>
      <c r="AD1" s="404"/>
      <c r="AE1" s="405" t="s">
        <v>174</v>
      </c>
      <c r="AF1" s="406"/>
      <c r="AG1" s="407"/>
      <c r="AH1" s="405" t="s">
        <v>191</v>
      </c>
      <c r="AI1" s="406"/>
      <c r="AJ1" s="407"/>
      <c r="AK1" s="405" t="s">
        <v>170</v>
      </c>
      <c r="AL1" s="406"/>
      <c r="AM1" s="407"/>
    </row>
    <row r="2" spans="1:39" s="1" customFormat="1" ht="15" thickTop="1" x14ac:dyDescent="0.2">
      <c r="A2" s="384" t="s">
        <v>112</v>
      </c>
      <c r="B2" s="385"/>
      <c r="C2" s="386"/>
      <c r="D2" s="318" t="s">
        <v>175</v>
      </c>
      <c r="E2" s="325">
        <f>1/((1/E17)+(1/E18)+(1/E20))</f>
        <v>1.6129514829178468</v>
      </c>
      <c r="F2" s="273" t="s">
        <v>176</v>
      </c>
      <c r="G2" s="84" t="s">
        <v>82</v>
      </c>
      <c r="H2" s="232">
        <f>(H17*H18*H19)/(H20*H22*H35*H33*H34*H37*H27*(1/365)*((H32*H30)+(H36*H29))*(1/24))</f>
        <v>80020.137997556521</v>
      </c>
      <c r="I2" s="49" t="s">
        <v>108</v>
      </c>
      <c r="J2" s="84" t="s">
        <v>82</v>
      </c>
      <c r="K2" s="232">
        <f>(K17*K18*K19)/(K20*K22*K35*K33*K34*K37*K27*(1/365)*((K32*K30)+(K36*K29))*(1/24))</f>
        <v>93543.54131914358</v>
      </c>
      <c r="L2" s="49" t="s">
        <v>108</v>
      </c>
      <c r="M2" s="319" t="s">
        <v>175</v>
      </c>
      <c r="N2" s="327">
        <f>1/((1/N18)+(1/N20))</f>
        <v>1.5115428318654602</v>
      </c>
      <c r="O2" s="266" t="s">
        <v>176</v>
      </c>
      <c r="P2" s="91" t="s">
        <v>82</v>
      </c>
      <c r="Q2" s="229">
        <f>(Q17*Q18*Q19)/(Q20*Q22*Q30*Q35*Q33*Q34*Q37*Q32*(1/24)*Q27*(1/365))</f>
        <v>116397.29273124572</v>
      </c>
      <c r="R2" s="92" t="s">
        <v>108</v>
      </c>
      <c r="S2" s="91" t="s">
        <v>82</v>
      </c>
      <c r="T2" s="229">
        <f>(T17*T18*T19)/(T20*T22*T35*T33*T34*T37*T27*(1/365)*T30*T32*(1/24))</f>
        <v>136068.43520282625</v>
      </c>
      <c r="U2" s="92" t="s">
        <v>108</v>
      </c>
      <c r="V2" s="320" t="s">
        <v>175</v>
      </c>
      <c r="W2" s="307" t="e">
        <f>1/((1/W17)+(1/W18)+(1/W20))</f>
        <v>#DIV/0!</v>
      </c>
      <c r="X2" s="278" t="s">
        <v>176</v>
      </c>
      <c r="Y2" s="75" t="s">
        <v>82</v>
      </c>
      <c r="Z2" s="223">
        <f>(Z17*Z18*Z19)/(Z20*Z22*Z30*Z35*Z33*Z34*Z37*Z32*(1/24)*Z27*(1/365))</f>
        <v>129330.3252569397</v>
      </c>
      <c r="AA2" s="76" t="s">
        <v>108</v>
      </c>
      <c r="AB2" s="75" t="s">
        <v>82</v>
      </c>
      <c r="AC2" s="223">
        <f>(AC17*AC18*AC19)/(AC20*AC22*AC35*AC33*AC34*AC37*AC27*(1/365)*AC30*AC32*(1/24))</f>
        <v>151187.15022536248</v>
      </c>
      <c r="AD2" s="76" t="s">
        <v>108</v>
      </c>
      <c r="AE2" s="321" t="s">
        <v>175</v>
      </c>
      <c r="AF2" s="326" t="e">
        <f>1/((1/AF17)+(1/AF18)+(1/AF20))</f>
        <v>#DIV/0!</v>
      </c>
      <c r="AG2" s="269" t="s">
        <v>176</v>
      </c>
      <c r="AH2" s="175" t="s">
        <v>82</v>
      </c>
      <c r="AI2" s="226">
        <f>(AI17*AI18*AI19)/(AI20*AI22*AI30*AI35*AI33*AI34*AI37*AI32*(1/24)*AI27*(1/365))</f>
        <v>290993.23182811425</v>
      </c>
      <c r="AJ2" s="50" t="s">
        <v>108</v>
      </c>
      <c r="AK2" s="175" t="s">
        <v>82</v>
      </c>
      <c r="AL2" s="226">
        <f>(AL17*AL18*AL19)/(AL20*AL22*AL30*AL35*AL33*AL34*AL37*AL32*(1/24)*AL27*(1/365))</f>
        <v>340171.08800706564</v>
      </c>
      <c r="AM2" s="50" t="s">
        <v>108</v>
      </c>
    </row>
    <row r="3" spans="1:39" s="1" customFormat="1" ht="15" thickBot="1" x14ac:dyDescent="0.25">
      <c r="A3" s="387"/>
      <c r="B3" s="388"/>
      <c r="C3" s="389"/>
      <c r="D3" s="272" t="s">
        <v>177</v>
      </c>
      <c r="E3" s="304">
        <f>1/((1/E17)+(1/E19)+(1/E20))</f>
        <v>230.18784501148531</v>
      </c>
      <c r="F3" s="270" t="s">
        <v>176</v>
      </c>
      <c r="G3" s="85" t="s">
        <v>83</v>
      </c>
      <c r="H3" s="233">
        <f>(H17*H18*H19)/(H20*H23*H35*H33*H34*H37*H27*(1/365)*((H32*H30)+(H36*H29))*(1/24))</f>
        <v>391853.35381899006</v>
      </c>
      <c r="I3" s="86" t="s">
        <v>110</v>
      </c>
      <c r="J3" s="85" t="s">
        <v>83</v>
      </c>
      <c r="K3" s="233">
        <f>(K17*K18*K19)/(K20*K23*K35*K33*K34*K38*K27*(1/365)*((K32*K30)+(K36*K29))*(1/24))</f>
        <v>458076.5706143995</v>
      </c>
      <c r="L3" s="86" t="s">
        <v>110</v>
      </c>
      <c r="M3" s="265" t="s">
        <v>177</v>
      </c>
      <c r="N3" s="308">
        <f>1/((1/N19)+(1/N20))</f>
        <v>216.7486641241706</v>
      </c>
      <c r="O3" s="260" t="s">
        <v>176</v>
      </c>
      <c r="P3" s="93" t="s">
        <v>83</v>
      </c>
      <c r="Q3" s="230">
        <f>(Q17*Q18*Q19)/(Q20*Q23*Q30*Q35*Q33*Q34*Q37*Q32*(1/24)*Q27*(1/365))</f>
        <v>569989.88846510299</v>
      </c>
      <c r="R3" s="94" t="s">
        <v>110</v>
      </c>
      <c r="S3" s="93" t="s">
        <v>83</v>
      </c>
      <c r="T3" s="230">
        <f>(T17*T18*T19)/(T20*T23*T30*T35*T33*T34*T37*T32*(1/24)*T27*(1/365))</f>
        <v>666318.17961570551</v>
      </c>
      <c r="U3" s="94" t="s">
        <v>110</v>
      </c>
      <c r="V3" s="277" t="s">
        <v>177</v>
      </c>
      <c r="W3" s="306" t="e">
        <f>1/((1/W17)+(1/W19)+(1/W20))</f>
        <v>#DIV/0!</v>
      </c>
      <c r="X3" s="275" t="s">
        <v>176</v>
      </c>
      <c r="Y3" s="77" t="s">
        <v>83</v>
      </c>
      <c r="Z3" s="224">
        <f>(Z17*Z18*Z19)/(Z20*Z23*Z30*Z35*Z33*Z34*Z37*Z32*(1/24)*Z27*(1/365))</f>
        <v>633322.09829455882</v>
      </c>
      <c r="AA3" s="78" t="s">
        <v>110</v>
      </c>
      <c r="AB3" s="77" t="s">
        <v>83</v>
      </c>
      <c r="AC3" s="224">
        <f>(AC17*AC18*AC19)/(AC20*AC23*AC30*AC35*AC33*AC34*AC37*AC32*(1/24)*AC27*(1/365))</f>
        <v>740353.53290633939</v>
      </c>
      <c r="AD3" s="78" t="s">
        <v>110</v>
      </c>
      <c r="AE3" s="268" t="s">
        <v>177</v>
      </c>
      <c r="AF3" s="309" t="e">
        <f>1/((1/AF17)+(1/AF19)+(1/AF20))</f>
        <v>#DIV/0!</v>
      </c>
      <c r="AG3" s="262" t="s">
        <v>176</v>
      </c>
      <c r="AH3" s="176" t="s">
        <v>83</v>
      </c>
      <c r="AI3" s="227">
        <f>(AI17*AI18*AI19)/(AI20*AI23*AI30*AI35*AI33*AI34*AI37*AI32*(1/24)*AI27*(1/365))</f>
        <v>1424974.7211627578</v>
      </c>
      <c r="AJ3" s="177" t="s">
        <v>110</v>
      </c>
      <c r="AK3" s="176" t="s">
        <v>83</v>
      </c>
      <c r="AL3" s="227">
        <f>(AL17*AL18*AL19)/(AL20*AL23*AL30*AL35*AL33*AL34*AL37*AL32*(1/24)*AL27*(1/365))</f>
        <v>1665795.4490392637</v>
      </c>
      <c r="AM3" s="177" t="s">
        <v>110</v>
      </c>
    </row>
    <row r="4" spans="1:39" s="1" customFormat="1" ht="14.25" x14ac:dyDescent="0.2">
      <c r="A4" s="387"/>
      <c r="B4" s="388"/>
      <c r="C4" s="389"/>
      <c r="D4" s="271" t="s">
        <v>175</v>
      </c>
      <c r="E4" s="322">
        <f>E2/E51</f>
        <v>5.9679204867960391E-2</v>
      </c>
      <c r="F4" s="273" t="s">
        <v>178</v>
      </c>
      <c r="G4" s="85" t="s">
        <v>84</v>
      </c>
      <c r="H4" s="233">
        <f>(H17*H18*H19)/(H20*H24*H35*H33*H34*H37*H27*(1/365)*((H32*H30)+(H36*H29))*(1/24))</f>
        <v>386537.95473395969</v>
      </c>
      <c r="I4" s="86" t="s">
        <v>109</v>
      </c>
      <c r="J4" s="85" t="s">
        <v>84</v>
      </c>
      <c r="K4" s="233">
        <f>(K17*K18*K19)/(K20*K24*K35*K33*K34*K39*K27*(1/365)*((K32*K30)+(K36*K29))*(1/24))</f>
        <v>451862.86908399878</v>
      </c>
      <c r="L4" s="86" t="s">
        <v>109</v>
      </c>
      <c r="M4" s="264" t="s">
        <v>175</v>
      </c>
      <c r="N4" s="324">
        <f>N2/N41</f>
        <v>5.5927084779022085E-2</v>
      </c>
      <c r="O4" s="266" t="s">
        <v>178</v>
      </c>
      <c r="P4" s="93" t="s">
        <v>84</v>
      </c>
      <c r="Q4" s="230">
        <f>(Q17*Q18*Q19)/(Q20*Q24*Q30*Q35*Q33*Q34*Q37*Q32*(1/24)*Q27*(1/365))</f>
        <v>562258.10895601753</v>
      </c>
      <c r="R4" s="94" t="s">
        <v>109</v>
      </c>
      <c r="S4" s="93" t="s">
        <v>84</v>
      </c>
      <c r="T4" s="230">
        <f>(T17*T18*T19)/(T20*T24*T30*T35*T33*T34*T37*T32*(1/24)*T27*(1/365))</f>
        <v>657279.72936958447</v>
      </c>
      <c r="U4" s="94" t="s">
        <v>109</v>
      </c>
      <c r="V4" s="276" t="s">
        <v>175</v>
      </c>
      <c r="W4" s="305" t="e">
        <f>W2/W41</f>
        <v>#DIV/0!</v>
      </c>
      <c r="X4" s="278" t="s">
        <v>178</v>
      </c>
      <c r="Y4" s="77" t="s">
        <v>84</v>
      </c>
      <c r="Z4" s="224">
        <f>(Z17*Z18*Z19)/(Z20*Z24*Z30*Z35*Z33*Z34*Z37*Z32*(1/24)*Z27*(1/365))</f>
        <v>624731.23217335274</v>
      </c>
      <c r="AA4" s="78" t="s">
        <v>109</v>
      </c>
      <c r="AB4" s="77" t="s">
        <v>84</v>
      </c>
      <c r="AC4" s="224">
        <f>(AC17*AC18*AC19)/(AC20*AC24*AC30*AC35*AC33*AC34*AC37*AC32*(1/24)*AC27*(1/365))</f>
        <v>730310.8104106494</v>
      </c>
      <c r="AD4" s="78" t="s">
        <v>109</v>
      </c>
      <c r="AE4" s="267" t="s">
        <v>175</v>
      </c>
      <c r="AF4" s="323" t="e">
        <f>AF2/AF41</f>
        <v>#DIV/0!</v>
      </c>
      <c r="AG4" s="269" t="s">
        <v>178</v>
      </c>
      <c r="AH4" s="176" t="s">
        <v>84</v>
      </c>
      <c r="AI4" s="227">
        <f>(AI17*AI18*AI19)/(AI20*AI24*AI30*AI35*AI33*AI34*AI37*AI32*(1/24)*AI27*(1/365))</f>
        <v>1405645.2723900441</v>
      </c>
      <c r="AJ4" s="177" t="s">
        <v>109</v>
      </c>
      <c r="AK4" s="176" t="s">
        <v>84</v>
      </c>
      <c r="AL4" s="227">
        <f>(AL17*AL18*AL19)/(AL20*AL24*AL30*AL35*AL33*AL34*AL37*AL32*(1/24)*AL27*(1/365))</f>
        <v>1643199.3234239612</v>
      </c>
      <c r="AM4" s="177" t="s">
        <v>109</v>
      </c>
    </row>
    <row r="5" spans="1:39" s="1" customFormat="1" ht="15" thickBot="1" x14ac:dyDescent="0.25">
      <c r="A5" s="390"/>
      <c r="B5" s="391"/>
      <c r="C5" s="392"/>
      <c r="D5" s="272" t="s">
        <v>177</v>
      </c>
      <c r="E5" s="304">
        <f>E3/E51</f>
        <v>8.5169502654249651</v>
      </c>
      <c r="F5" s="274" t="s">
        <v>178</v>
      </c>
      <c r="G5" s="85" t="s">
        <v>85</v>
      </c>
      <c r="H5" s="233">
        <f>(H17*H18*H19)/(H20*H25*H35*H33*H34*H37*H27*(1/365)*((H32*H30)+(H36*H29))*(1/24))</f>
        <v>135546.7419275103</v>
      </c>
      <c r="I5" s="86" t="s">
        <v>109</v>
      </c>
      <c r="J5" s="85" t="s">
        <v>85</v>
      </c>
      <c r="K5" s="233">
        <f>(K17*K18*K19)/(K20*K25*K35*K33*K34*K40*K27*(1/365)*((K32*K30)+(K36*K29))*(1/24))</f>
        <v>158454.14131325958</v>
      </c>
      <c r="L5" s="86" t="s">
        <v>109</v>
      </c>
      <c r="M5" s="265" t="s">
        <v>177</v>
      </c>
      <c r="N5" s="308">
        <f>N3/N41</f>
        <v>8.0197005725943207</v>
      </c>
      <c r="O5" s="261" t="s">
        <v>178</v>
      </c>
      <c r="P5" s="93" t="s">
        <v>85</v>
      </c>
      <c r="Q5" s="230">
        <f>(Q17*Q18*Q19)/(Q20*Q25*Q30*Q35*Q33*Q34*Q37*Q32*(1/24)*Q27*(1/365))</f>
        <v>197166.29080775651</v>
      </c>
      <c r="R5" s="94" t="s">
        <v>109</v>
      </c>
      <c r="S5" s="93" t="s">
        <v>85</v>
      </c>
      <c r="T5" s="230">
        <f>(T17*T18*T19)/(T20*T25*T30*T35*T33*T34*T37*T32*(1/24)*T27*(1/365))</f>
        <v>230487.39395426735</v>
      </c>
      <c r="U5" s="94" t="s">
        <v>109</v>
      </c>
      <c r="V5" s="277" t="s">
        <v>177</v>
      </c>
      <c r="W5" s="306" t="e">
        <f>W3/W41</f>
        <v>#DIV/0!</v>
      </c>
      <c r="X5" s="279" t="s">
        <v>178</v>
      </c>
      <c r="Y5" s="77" t="s">
        <v>85</v>
      </c>
      <c r="Z5" s="224">
        <f>(Z17*Z18*Z19)/(Z20*Z25*Z30*Z35*Z33*Z34*Z37*Z32*(1/24)*Z27*(1/365))</f>
        <v>219073.65645306278</v>
      </c>
      <c r="AA5" s="78" t="s">
        <v>109</v>
      </c>
      <c r="AB5" s="77" t="s">
        <v>85</v>
      </c>
      <c r="AC5" s="224">
        <f>(AC17*AC18*AC19)/(AC20*AC25*AC30*AC35*AC33*AC34*AC37*AC32*(1/24)*AC27*(1/365))</f>
        <v>256097.1043936304</v>
      </c>
      <c r="AD5" s="78" t="s">
        <v>109</v>
      </c>
      <c r="AE5" s="268" t="s">
        <v>177</v>
      </c>
      <c r="AF5" s="309" t="e">
        <f>AF3/AF41</f>
        <v>#DIV/0!</v>
      </c>
      <c r="AG5" s="263" t="s">
        <v>178</v>
      </c>
      <c r="AH5" s="176" t="s">
        <v>85</v>
      </c>
      <c r="AI5" s="227">
        <f>(AI17*AI18*AI19)/(AI20*AI25*AI30*AI35*AI33*AI34*AI37*AI32*(1/24)*AI27*(1/365))</f>
        <v>492915.72701939126</v>
      </c>
      <c r="AJ5" s="177" t="s">
        <v>109</v>
      </c>
      <c r="AK5" s="176" t="s">
        <v>85</v>
      </c>
      <c r="AL5" s="227">
        <f>(AL17*AL18*AL19)/(AL20*AL25*AL30*AL35*AL33*AL34*AL37*AL32*(1/24)*AL27*(1/365))</f>
        <v>576218.48488566838</v>
      </c>
      <c r="AM5" s="177" t="s">
        <v>109</v>
      </c>
    </row>
    <row r="6" spans="1:39" s="1" customFormat="1" ht="15.75" thickTop="1" thickBot="1" x14ac:dyDescent="0.25">
      <c r="A6" s="28" t="s">
        <v>21</v>
      </c>
      <c r="B6" s="190">
        <v>1</v>
      </c>
      <c r="C6" s="28" t="s">
        <v>138</v>
      </c>
      <c r="D6" s="271" t="s">
        <v>175</v>
      </c>
      <c r="E6" s="322">
        <f>E2*E13*E50*E52</f>
        <v>1.0503521424375087E-14</v>
      </c>
      <c r="F6" s="273" t="s">
        <v>179</v>
      </c>
      <c r="G6" s="87" t="s">
        <v>86</v>
      </c>
      <c r="H6" s="234">
        <f>(H17*H18*H19)/(H20*H26*H35*H33*H34*H37*H27*(1/365)*((H32*H30)+(H36*H29))*(1/24))</f>
        <v>87714.382035783114</v>
      </c>
      <c r="I6" s="48" t="s">
        <v>109</v>
      </c>
      <c r="J6" s="87" t="s">
        <v>86</v>
      </c>
      <c r="K6" s="234">
        <f>(K17*K18*K19)/(K20*K26*K35*K33*K34*K41*K27*(1/365)*((K32*K30)+(K36*K29))*(1/24))</f>
        <v>102538.11259983049</v>
      </c>
      <c r="L6" s="48" t="s">
        <v>109</v>
      </c>
      <c r="M6" s="264" t="s">
        <v>175</v>
      </c>
      <c r="N6" s="324">
        <f>N2*N13*N40*N42</f>
        <v>9.8431494601676707E-15</v>
      </c>
      <c r="O6" s="266" t="s">
        <v>179</v>
      </c>
      <c r="P6" s="95" t="s">
        <v>86</v>
      </c>
      <c r="Q6" s="231">
        <f>(Q17*Q18*Q19)/(Q20*Q26*Q30*Q35*Q33*Q34*Q37*Q32*(1/24)*Q27*(1/365))</f>
        <v>127589.3401092501</v>
      </c>
      <c r="R6" s="96" t="s">
        <v>109</v>
      </c>
      <c r="S6" s="95" t="s">
        <v>86</v>
      </c>
      <c r="T6" s="231">
        <f>(T17*T18*T19)/(T20*T26*T30*T35*T33*T34*T37*T32*(1/24)*T27*(1/365))</f>
        <v>149151.9385877134</v>
      </c>
      <c r="U6" s="96" t="s">
        <v>109</v>
      </c>
      <c r="V6" s="276" t="s">
        <v>175</v>
      </c>
      <c r="W6" s="305" t="e">
        <f>W2*W13*W40*W42</f>
        <v>#DIV/0!</v>
      </c>
      <c r="X6" s="278" t="s">
        <v>179</v>
      </c>
      <c r="Y6" s="79" t="s">
        <v>86</v>
      </c>
      <c r="Z6" s="225">
        <f>(Z17*Z18*Z19)/(Z20*Z26*Z30*Z35*Z33*Z34*Z37*Z32*(1/24)*Z27*(1/365))</f>
        <v>141765.93345472234</v>
      </c>
      <c r="AA6" s="80" t="s">
        <v>109</v>
      </c>
      <c r="AB6" s="79" t="s">
        <v>86</v>
      </c>
      <c r="AC6" s="225">
        <f>(AC17*AC18*AC19)/(AC20*AC26*AC30*AC35*AC33*AC34*AC37*AC32*(1/24)*AC27*(1/365))</f>
        <v>165724.37620857044</v>
      </c>
      <c r="AD6" s="80" t="s">
        <v>109</v>
      </c>
      <c r="AE6" s="267" t="s">
        <v>175</v>
      </c>
      <c r="AF6" s="323" t="e">
        <f>AF2*AF13*AF40*AF42</f>
        <v>#DIV/0!</v>
      </c>
      <c r="AG6" s="269" t="s">
        <v>179</v>
      </c>
      <c r="AH6" s="178" t="s">
        <v>86</v>
      </c>
      <c r="AI6" s="228">
        <f>(AI17*AI18*AI19)/(AI20*AI26*AI30*AI35*AI33*AI34*AI37*AI32*(1/24)*AI27*(1/365))</f>
        <v>318973.35027312534</v>
      </c>
      <c r="AJ6" s="179" t="s">
        <v>109</v>
      </c>
      <c r="AK6" s="178" t="s">
        <v>86</v>
      </c>
      <c r="AL6" s="228">
        <f>(AL17*AL18*AL19)/(AL20*AL26*AL30*AL35*AL33*AL34*AL37*AL32*(1/24)*AL27*(1/365))</f>
        <v>372879.84646928357</v>
      </c>
      <c r="AM6" s="179" t="s">
        <v>109</v>
      </c>
    </row>
    <row r="7" spans="1:39" s="1" customFormat="1" ht="15" thickBot="1" x14ac:dyDescent="0.25">
      <c r="A7" s="38" t="s">
        <v>22</v>
      </c>
      <c r="B7" s="334">
        <v>1.25E-4</v>
      </c>
      <c r="C7" s="40" t="s">
        <v>11</v>
      </c>
      <c r="D7" s="272" t="s">
        <v>177</v>
      </c>
      <c r="E7" s="304">
        <f>E3*E13*E50*E52</f>
        <v>1.4989805876461156E-12</v>
      </c>
      <c r="F7" s="274" t="s">
        <v>179</v>
      </c>
      <c r="G7" s="84" t="s">
        <v>82</v>
      </c>
      <c r="H7" s="232">
        <f>H2/H42</f>
        <v>2960.7451059095943</v>
      </c>
      <c r="I7" s="49" t="s">
        <v>105</v>
      </c>
      <c r="J7" s="84" t="s">
        <v>82</v>
      </c>
      <c r="K7" s="232">
        <f>K2/K42</f>
        <v>3461.111028808316</v>
      </c>
      <c r="L7" s="49" t="s">
        <v>105</v>
      </c>
      <c r="M7" s="265" t="s">
        <v>177</v>
      </c>
      <c r="N7" s="308">
        <f>N3*N13*N40*N42</f>
        <v>1.4114647969537604E-12</v>
      </c>
      <c r="O7" s="261" t="s">
        <v>179</v>
      </c>
      <c r="P7" s="91" t="s">
        <v>82</v>
      </c>
      <c r="Q7" s="229">
        <f>Q2/Q42</f>
        <v>4306.6998310560957</v>
      </c>
      <c r="R7" s="92" t="s">
        <v>105</v>
      </c>
      <c r="S7" s="91" t="s">
        <v>82</v>
      </c>
      <c r="T7" s="229">
        <f>T2/T42</f>
        <v>5034.532102504576</v>
      </c>
      <c r="U7" s="92" t="s">
        <v>105</v>
      </c>
      <c r="V7" s="277" t="s">
        <v>177</v>
      </c>
      <c r="W7" s="306" t="e">
        <f>W3*W13*W40*W42</f>
        <v>#DIV/0!</v>
      </c>
      <c r="X7" s="279" t="s">
        <v>179</v>
      </c>
      <c r="Y7" s="75" t="s">
        <v>82</v>
      </c>
      <c r="Z7" s="223">
        <f>Z2/Z42</f>
        <v>4785.2220345067735</v>
      </c>
      <c r="AA7" s="76" t="s">
        <v>105</v>
      </c>
      <c r="AB7" s="75" t="s">
        <v>82</v>
      </c>
      <c r="AC7" s="223">
        <f>AC2/AC42</f>
        <v>5593.9245583384172</v>
      </c>
      <c r="AD7" s="76" t="s">
        <v>105</v>
      </c>
      <c r="AE7" s="268" t="s">
        <v>177</v>
      </c>
      <c r="AF7" s="309" t="e">
        <f>AF3*AF13*AF40*AF42</f>
        <v>#DIV/0!</v>
      </c>
      <c r="AG7" s="263" t="s">
        <v>179</v>
      </c>
      <c r="AH7" s="175" t="s">
        <v>82</v>
      </c>
      <c r="AI7" s="226">
        <f>AI2/AI42</f>
        <v>10766.749577640237</v>
      </c>
      <c r="AJ7" s="50" t="s">
        <v>105</v>
      </c>
      <c r="AK7" s="175" t="s">
        <v>82</v>
      </c>
      <c r="AL7" s="226">
        <f>AL2/AL42</f>
        <v>12586.330256261441</v>
      </c>
      <c r="AM7" s="50" t="s">
        <v>105</v>
      </c>
    </row>
    <row r="8" spans="1:39" s="1" customFormat="1" ht="14.25" x14ac:dyDescent="0.2">
      <c r="A8" s="38" t="s">
        <v>209</v>
      </c>
      <c r="B8" s="333">
        <v>3.3799999999999998E-8</v>
      </c>
      <c r="C8" s="38" t="s">
        <v>11</v>
      </c>
      <c r="D8" s="28" t="s">
        <v>21</v>
      </c>
      <c r="E8" s="32">
        <f>B6</f>
        <v>1</v>
      </c>
      <c r="F8" s="28" t="s">
        <v>138</v>
      </c>
      <c r="G8" s="85" t="s">
        <v>83</v>
      </c>
      <c r="H8" s="233">
        <f>H3/H42</f>
        <v>14498.574091302648</v>
      </c>
      <c r="I8" s="86" t="s">
        <v>106</v>
      </c>
      <c r="J8" s="85" t="s">
        <v>83</v>
      </c>
      <c r="K8" s="233">
        <f>K3/K42</f>
        <v>16948.833112732798</v>
      </c>
      <c r="L8" s="86" t="s">
        <v>106</v>
      </c>
      <c r="M8" s="28" t="s">
        <v>21</v>
      </c>
      <c r="N8" s="32">
        <f>B6</f>
        <v>1</v>
      </c>
      <c r="O8" s="28" t="s">
        <v>138</v>
      </c>
      <c r="P8" s="93" t="s">
        <v>83</v>
      </c>
      <c r="Q8" s="230">
        <f>Q3/Q42</f>
        <v>21089.625873208832</v>
      </c>
      <c r="R8" s="94" t="s">
        <v>106</v>
      </c>
      <c r="S8" s="93" t="s">
        <v>83</v>
      </c>
      <c r="T8" s="230">
        <f>T3/T42</f>
        <v>24653.77264578113</v>
      </c>
      <c r="U8" s="94" t="s">
        <v>106</v>
      </c>
      <c r="V8" s="28" t="s">
        <v>21</v>
      </c>
      <c r="W8" s="32">
        <f>B6</f>
        <v>1</v>
      </c>
      <c r="X8" s="28" t="s">
        <v>138</v>
      </c>
      <c r="Y8" s="77" t="s">
        <v>83</v>
      </c>
      <c r="Z8" s="224">
        <f>Z3/Z42</f>
        <v>23432.917636898699</v>
      </c>
      <c r="AA8" s="78" t="s">
        <v>106</v>
      </c>
      <c r="AB8" s="77" t="s">
        <v>83</v>
      </c>
      <c r="AC8" s="224">
        <f>AC3/AC42</f>
        <v>27393.080717534584</v>
      </c>
      <c r="AD8" s="78" t="s">
        <v>106</v>
      </c>
      <c r="AE8" s="28" t="s">
        <v>21</v>
      </c>
      <c r="AF8" s="32">
        <f>B6</f>
        <v>1</v>
      </c>
      <c r="AG8" s="28" t="s">
        <v>138</v>
      </c>
      <c r="AH8" s="176" t="s">
        <v>83</v>
      </c>
      <c r="AI8" s="227">
        <f>AI3/AI42</f>
        <v>52724.064683022094</v>
      </c>
      <c r="AJ8" s="177" t="s">
        <v>106</v>
      </c>
      <c r="AK8" s="176" t="s">
        <v>83</v>
      </c>
      <c r="AL8" s="227">
        <f>AL3/AL42</f>
        <v>61634.43161445282</v>
      </c>
      <c r="AM8" s="177" t="s">
        <v>106</v>
      </c>
    </row>
    <row r="9" spans="1:39" s="1" customFormat="1" ht="19.5" x14ac:dyDescent="0.35">
      <c r="A9" s="38" t="s">
        <v>210</v>
      </c>
      <c r="B9" s="333">
        <v>0</v>
      </c>
      <c r="C9" s="38" t="s">
        <v>11</v>
      </c>
      <c r="D9" s="54" t="s">
        <v>206</v>
      </c>
      <c r="E9" s="32">
        <f>E38</f>
        <v>1</v>
      </c>
      <c r="F9" s="28"/>
      <c r="G9" s="85" t="s">
        <v>84</v>
      </c>
      <c r="H9" s="233">
        <f>H4/H42</f>
        <v>14301.904325156524</v>
      </c>
      <c r="I9" s="86" t="s">
        <v>105</v>
      </c>
      <c r="J9" s="85" t="s">
        <v>84</v>
      </c>
      <c r="K9" s="233">
        <f>K4/K42</f>
        <v>16718.926156107973</v>
      </c>
      <c r="L9" s="86" t="s">
        <v>105</v>
      </c>
      <c r="M9" s="54" t="s">
        <v>207</v>
      </c>
      <c r="N9" s="32">
        <f>N30</f>
        <v>1</v>
      </c>
      <c r="O9" s="28"/>
      <c r="P9" s="93" t="s">
        <v>84</v>
      </c>
      <c r="Q9" s="230">
        <f>Q4/Q42</f>
        <v>20803.55003137267</v>
      </c>
      <c r="R9" s="94" t="s">
        <v>105</v>
      </c>
      <c r="S9" s="93" t="s">
        <v>84</v>
      </c>
      <c r="T9" s="230">
        <f>T4/T42</f>
        <v>24319.34998667465</v>
      </c>
      <c r="U9" s="94" t="s">
        <v>105</v>
      </c>
      <c r="V9" s="54" t="s">
        <v>208</v>
      </c>
      <c r="W9" s="32">
        <f>W30</f>
        <v>1</v>
      </c>
      <c r="X9" s="28"/>
      <c r="Y9" s="77" t="s">
        <v>84</v>
      </c>
      <c r="Z9" s="224">
        <f>Z4/Z42</f>
        <v>23115.055590414075</v>
      </c>
      <c r="AA9" s="78" t="s">
        <v>105</v>
      </c>
      <c r="AB9" s="77" t="s">
        <v>84</v>
      </c>
      <c r="AC9" s="224">
        <f>AC4/AC42</f>
        <v>27021.499985194056</v>
      </c>
      <c r="AD9" s="78" t="s">
        <v>105</v>
      </c>
      <c r="AE9" s="54" t="s">
        <v>140</v>
      </c>
      <c r="AF9" s="32">
        <f>AF30</f>
        <v>1</v>
      </c>
      <c r="AG9" s="28"/>
      <c r="AH9" s="176" t="s">
        <v>84</v>
      </c>
      <c r="AI9" s="227">
        <f>AI4/AI42</f>
        <v>52008.87507843168</v>
      </c>
      <c r="AJ9" s="177" t="s">
        <v>105</v>
      </c>
      <c r="AK9" s="176" t="s">
        <v>84</v>
      </c>
      <c r="AL9" s="227">
        <f>AL4/AL42</f>
        <v>60798.374966686628</v>
      </c>
      <c r="AM9" s="177" t="s">
        <v>105</v>
      </c>
    </row>
    <row r="10" spans="1:39" s="1" customFormat="1" ht="14.25" x14ac:dyDescent="0.2">
      <c r="A10" s="57" t="s">
        <v>113</v>
      </c>
      <c r="B10" s="334">
        <v>2.1295200000000002E-3</v>
      </c>
      <c r="C10" s="38" t="s">
        <v>198</v>
      </c>
      <c r="D10" s="54" t="s">
        <v>65</v>
      </c>
      <c r="E10" s="32">
        <f>B33</f>
        <v>0</v>
      </c>
      <c r="F10" s="28"/>
      <c r="G10" s="85" t="s">
        <v>85</v>
      </c>
      <c r="H10" s="233">
        <f>H5/H42</f>
        <v>5015.2294513178858</v>
      </c>
      <c r="I10" s="86" t="s">
        <v>105</v>
      </c>
      <c r="J10" s="85" t="s">
        <v>85</v>
      </c>
      <c r="K10" s="233">
        <f>K5/K42</f>
        <v>5862.8032285906102</v>
      </c>
      <c r="L10" s="86" t="s">
        <v>105</v>
      </c>
      <c r="M10" s="54" t="s">
        <v>65</v>
      </c>
      <c r="N10" s="32">
        <f>B33</f>
        <v>0</v>
      </c>
      <c r="O10" s="28"/>
      <c r="P10" s="93" t="s">
        <v>85</v>
      </c>
      <c r="Q10" s="230">
        <f>Q5/Q42</f>
        <v>7295.152759886998</v>
      </c>
      <c r="R10" s="94" t="s">
        <v>105</v>
      </c>
      <c r="S10" s="93" t="s">
        <v>85</v>
      </c>
      <c r="T10" s="230">
        <f>T5/T42</f>
        <v>8528.0335763079001</v>
      </c>
      <c r="U10" s="94" t="s">
        <v>105</v>
      </c>
      <c r="V10" s="54" t="s">
        <v>65</v>
      </c>
      <c r="W10" s="32">
        <f>B33</f>
        <v>0</v>
      </c>
      <c r="X10" s="28"/>
      <c r="Y10" s="77" t="s">
        <v>85</v>
      </c>
      <c r="Z10" s="224">
        <f>Z5/Z42</f>
        <v>8105.7252887633313</v>
      </c>
      <c r="AA10" s="78" t="s">
        <v>105</v>
      </c>
      <c r="AB10" s="77" t="s">
        <v>85</v>
      </c>
      <c r="AC10" s="224">
        <f>AC5/AC42</f>
        <v>9475.5928625643337</v>
      </c>
      <c r="AD10" s="78" t="s">
        <v>105</v>
      </c>
      <c r="AE10" s="54" t="s">
        <v>65</v>
      </c>
      <c r="AF10" s="32">
        <f>B33</f>
        <v>0</v>
      </c>
      <c r="AG10" s="28"/>
      <c r="AH10" s="176" t="s">
        <v>85</v>
      </c>
      <c r="AI10" s="227">
        <f>AI5/AI42</f>
        <v>18237.881899717497</v>
      </c>
      <c r="AJ10" s="177" t="s">
        <v>105</v>
      </c>
      <c r="AK10" s="176" t="s">
        <v>85</v>
      </c>
      <c r="AL10" s="227">
        <f>AL5/AL42</f>
        <v>21320.083940769753</v>
      </c>
      <c r="AM10" s="177" t="s">
        <v>105</v>
      </c>
    </row>
    <row r="11" spans="1:39" s="1" customFormat="1" ht="15" thickBot="1" x14ac:dyDescent="0.25">
      <c r="A11" s="57" t="s">
        <v>23</v>
      </c>
      <c r="B11" s="333">
        <v>4.3486799999999998E-4</v>
      </c>
      <c r="C11" s="38" t="s">
        <v>199</v>
      </c>
      <c r="D11" s="54" t="s">
        <v>1</v>
      </c>
      <c r="E11" s="51">
        <f>0.693/E13</f>
        <v>66.155354824913829</v>
      </c>
      <c r="F11" s="54"/>
      <c r="G11" s="87" t="s">
        <v>86</v>
      </c>
      <c r="H11" s="234">
        <f>H6/H42</f>
        <v>3245.4321353239784</v>
      </c>
      <c r="I11" s="86" t="s">
        <v>105</v>
      </c>
      <c r="J11" s="87" t="s">
        <v>86</v>
      </c>
      <c r="K11" s="234">
        <f>K6/K42</f>
        <v>3793.910166193732</v>
      </c>
      <c r="L11" s="86" t="s">
        <v>105</v>
      </c>
      <c r="M11" s="54" t="s">
        <v>1</v>
      </c>
      <c r="N11" s="51">
        <f>0.693/N13</f>
        <v>66.155354824913829</v>
      </c>
      <c r="O11" s="28"/>
      <c r="P11" s="95" t="s">
        <v>86</v>
      </c>
      <c r="Q11" s="231">
        <f>Q6/Q42</f>
        <v>4720.8055840422585</v>
      </c>
      <c r="R11" s="94" t="s">
        <v>105</v>
      </c>
      <c r="S11" s="95" t="s">
        <v>86</v>
      </c>
      <c r="T11" s="231">
        <f>T6/T42</f>
        <v>5518.6217277454016</v>
      </c>
      <c r="U11" s="94" t="s">
        <v>105</v>
      </c>
      <c r="V11" s="54" t="s">
        <v>1</v>
      </c>
      <c r="W11" s="51">
        <f>0.693/W13</f>
        <v>66.155354824913829</v>
      </c>
      <c r="X11" s="54"/>
      <c r="Y11" s="79" t="s">
        <v>86</v>
      </c>
      <c r="Z11" s="225">
        <f>Z6/Z42</f>
        <v>5245.3395378247324</v>
      </c>
      <c r="AA11" s="78" t="s">
        <v>105</v>
      </c>
      <c r="AB11" s="79" t="s">
        <v>86</v>
      </c>
      <c r="AC11" s="225">
        <f>AC6/AC42</f>
        <v>6131.8019197171125</v>
      </c>
      <c r="AD11" s="78" t="s">
        <v>105</v>
      </c>
      <c r="AE11" s="54" t="s">
        <v>1</v>
      </c>
      <c r="AF11" s="51">
        <f>0.693/AF13</f>
        <v>66.155354824913829</v>
      </c>
      <c r="AG11" s="54"/>
      <c r="AH11" s="178" t="s">
        <v>86</v>
      </c>
      <c r="AI11" s="228">
        <f>AI6/AI42</f>
        <v>11802.013960105649</v>
      </c>
      <c r="AJ11" s="177" t="s">
        <v>105</v>
      </c>
      <c r="AK11" s="178" t="s">
        <v>86</v>
      </c>
      <c r="AL11" s="228">
        <f>AL6/AL42</f>
        <v>13796.554319363506</v>
      </c>
      <c r="AM11" s="177" t="s">
        <v>105</v>
      </c>
    </row>
    <row r="12" spans="1:39" s="1" customFormat="1" ht="14.25" x14ac:dyDescent="0.2">
      <c r="A12" s="57" t="s">
        <v>114</v>
      </c>
      <c r="B12" s="333">
        <v>4.4084799999999998E-4</v>
      </c>
      <c r="C12" s="38" t="s">
        <v>198</v>
      </c>
      <c r="D12" s="28" t="s">
        <v>126</v>
      </c>
      <c r="E12" s="51">
        <f>(1-EXP(-E11*E9))</f>
        <v>1</v>
      </c>
      <c r="F12" s="28"/>
      <c r="G12" s="84" t="s">
        <v>82</v>
      </c>
      <c r="H12" s="232">
        <f>H2*H21*H43*H44</f>
        <v>5.2109021426876668E-7</v>
      </c>
      <c r="I12" s="88" t="s">
        <v>107</v>
      </c>
      <c r="J12" s="84" t="s">
        <v>82</v>
      </c>
      <c r="K12" s="232">
        <f>K2*K21*K43*K44</f>
        <v>6.0915446048018828E-7</v>
      </c>
      <c r="L12" s="88" t="s">
        <v>107</v>
      </c>
      <c r="M12" s="28" t="s">
        <v>126</v>
      </c>
      <c r="N12" s="51">
        <f>(1-EXP(-N11*N9))</f>
        <v>1</v>
      </c>
      <c r="O12" s="28"/>
      <c r="P12" s="91" t="s">
        <v>82</v>
      </c>
      <c r="Q12" s="229">
        <f>Q2*Q21*Q43*Q44</f>
        <v>7.5797782567534796E-7</v>
      </c>
      <c r="R12" s="97" t="s">
        <v>107</v>
      </c>
      <c r="S12" s="91" t="s">
        <v>82</v>
      </c>
      <c r="T12" s="229">
        <f>T2*T21*T43*T44</f>
        <v>8.8607607821448178E-7</v>
      </c>
      <c r="U12" s="97" t="s">
        <v>107</v>
      </c>
      <c r="V12" s="28" t="s">
        <v>126</v>
      </c>
      <c r="W12" s="51">
        <f>(1-EXP(-W11*W9))</f>
        <v>1</v>
      </c>
      <c r="X12" s="28"/>
      <c r="Y12" s="75" t="s">
        <v>82</v>
      </c>
      <c r="Z12" s="223">
        <f>Z2*Z21*Z43*Z44</f>
        <v>8.4219758408372019E-7</v>
      </c>
      <c r="AA12" s="81" t="s">
        <v>107</v>
      </c>
      <c r="AB12" s="75" t="s">
        <v>82</v>
      </c>
      <c r="AC12" s="223">
        <f>AC2*AC21*AC43*AC44</f>
        <v>9.8452897579386853E-7</v>
      </c>
      <c r="AD12" s="81" t="s">
        <v>107</v>
      </c>
      <c r="AE12" s="28" t="s">
        <v>126</v>
      </c>
      <c r="AF12" s="51">
        <f>(1-EXP(-AF11*AF9))</f>
        <v>1</v>
      </c>
      <c r="AG12" s="28"/>
      <c r="AH12" s="175" t="s">
        <v>82</v>
      </c>
      <c r="AI12" s="226">
        <f>AI2*AI21*AI43*AI44</f>
        <v>1.8949445641883695E-6</v>
      </c>
      <c r="AJ12" s="180" t="s">
        <v>107</v>
      </c>
      <c r="AK12" s="175" t="s">
        <v>82</v>
      </c>
      <c r="AL12" s="226">
        <f>AL2*AL21*AL43*AL44</f>
        <v>2.2151901955362046E-6</v>
      </c>
      <c r="AM12" s="180" t="s">
        <v>107</v>
      </c>
    </row>
    <row r="13" spans="1:39" s="1" customFormat="1" ht="14.25" x14ac:dyDescent="0.2">
      <c r="A13" s="57" t="s">
        <v>115</v>
      </c>
      <c r="B13" s="333">
        <v>1.2571640000000001E-3</v>
      </c>
      <c r="C13" s="38" t="s">
        <v>198</v>
      </c>
      <c r="D13" s="33" t="s">
        <v>9</v>
      </c>
      <c r="E13" s="53">
        <f>B16</f>
        <v>1.04753425E-2</v>
      </c>
      <c r="F13" s="54" t="s">
        <v>10</v>
      </c>
      <c r="G13" s="85" t="s">
        <v>83</v>
      </c>
      <c r="H13" s="233">
        <f>H3*H21*H43*H45</f>
        <v>2.551744513483687E-9</v>
      </c>
      <c r="I13" s="86" t="s">
        <v>110</v>
      </c>
      <c r="J13" s="85" t="s">
        <v>83</v>
      </c>
      <c r="K13" s="233">
        <f>K3*K21*K43*K45</f>
        <v>2.9829893362624314E-9</v>
      </c>
      <c r="L13" s="86" t="s">
        <v>110</v>
      </c>
      <c r="M13" s="33" t="s">
        <v>9</v>
      </c>
      <c r="N13" s="53">
        <f>B16</f>
        <v>1.04753425E-2</v>
      </c>
      <c r="O13" s="28"/>
      <c r="P13" s="93" t="s">
        <v>83</v>
      </c>
      <c r="Q13" s="230">
        <f>Q3*Q21*Q43*Q45</f>
        <v>3.7117675693133723E-9</v>
      </c>
      <c r="R13" s="94" t="s">
        <v>110</v>
      </c>
      <c r="S13" s="93" t="s">
        <v>83</v>
      </c>
      <c r="T13" s="230">
        <f>T3*T21*T43*T45</f>
        <v>4.3390562885273322E-9</v>
      </c>
      <c r="U13" s="94" t="s">
        <v>110</v>
      </c>
      <c r="V13" s="33" t="s">
        <v>9</v>
      </c>
      <c r="W13" s="53">
        <f>B16</f>
        <v>1.04753425E-2</v>
      </c>
      <c r="X13" s="54"/>
      <c r="Y13" s="77" t="s">
        <v>83</v>
      </c>
      <c r="Z13" s="224">
        <f>Z3*Z21*Z43*Z45</f>
        <v>4.1241861881259679E-9</v>
      </c>
      <c r="AA13" s="78" t="s">
        <v>110</v>
      </c>
      <c r="AB13" s="77" t="s">
        <v>83</v>
      </c>
      <c r="AC13" s="224">
        <f>AC3*AC21*AC43*AC45</f>
        <v>4.8211736539192576E-9</v>
      </c>
      <c r="AD13" s="78" t="s">
        <v>110</v>
      </c>
      <c r="AE13" s="33" t="s">
        <v>9</v>
      </c>
      <c r="AF13" s="53">
        <f>B16</f>
        <v>1.04753425E-2</v>
      </c>
      <c r="AG13" s="54"/>
      <c r="AH13" s="176" t="s">
        <v>83</v>
      </c>
      <c r="AI13" s="227">
        <f>AI3*AI21*AI43*AI45</f>
        <v>9.2794189232834313E-9</v>
      </c>
      <c r="AJ13" s="177" t="s">
        <v>110</v>
      </c>
      <c r="AK13" s="176" t="s">
        <v>83</v>
      </c>
      <c r="AL13" s="227">
        <f>AL3*AL21*AL43*AL45</f>
        <v>1.0847640721318331E-8</v>
      </c>
      <c r="AM13" s="177" t="s">
        <v>110</v>
      </c>
    </row>
    <row r="14" spans="1:39" s="1" customFormat="1" ht="14.25" x14ac:dyDescent="0.2">
      <c r="A14" s="57" t="s">
        <v>116</v>
      </c>
      <c r="B14" s="333">
        <v>1.94272E-3</v>
      </c>
      <c r="C14" s="38" t="s">
        <v>198</v>
      </c>
      <c r="D14" s="38" t="s">
        <v>209</v>
      </c>
      <c r="E14" s="53">
        <f>B8</f>
        <v>3.3799999999999998E-8</v>
      </c>
      <c r="F14" s="54" t="s">
        <v>11</v>
      </c>
      <c r="G14" s="85" t="s">
        <v>84</v>
      </c>
      <c r="H14" s="233">
        <f>H4*H21*H43*H44</f>
        <v>2.517130696044044E-6</v>
      </c>
      <c r="I14" s="89" t="s">
        <v>107</v>
      </c>
      <c r="J14" s="85" t="s">
        <v>84</v>
      </c>
      <c r="K14" s="233">
        <f>K4*K21*K43*K44</f>
        <v>2.9425257836754861E-6</v>
      </c>
      <c r="L14" s="89" t="s">
        <v>107</v>
      </c>
      <c r="M14" s="38" t="s">
        <v>210</v>
      </c>
      <c r="N14" s="53">
        <f>B9</f>
        <v>0</v>
      </c>
      <c r="O14" s="28" t="s">
        <v>11</v>
      </c>
      <c r="P14" s="93" t="s">
        <v>84</v>
      </c>
      <c r="Q14" s="230">
        <f>Q4*Q21*Q43*Q44</f>
        <v>3.6614183104656643E-6</v>
      </c>
      <c r="R14" s="98" t="s">
        <v>107</v>
      </c>
      <c r="S14" s="93" t="s">
        <v>84</v>
      </c>
      <c r="T14" s="230">
        <f>T4*T21*T43*T44</f>
        <v>4.2801980049343621E-6</v>
      </c>
      <c r="U14" s="98" t="s">
        <v>107</v>
      </c>
      <c r="V14" s="38" t="s">
        <v>210</v>
      </c>
      <c r="W14" s="53">
        <f>B9</f>
        <v>0</v>
      </c>
      <c r="X14" s="54" t="s">
        <v>11</v>
      </c>
      <c r="Y14" s="77" t="s">
        <v>84</v>
      </c>
      <c r="Z14" s="224">
        <f>Z4*Z21*Z43*Z44</f>
        <v>4.0682425671840715E-6</v>
      </c>
      <c r="AA14" s="82" t="s">
        <v>107</v>
      </c>
      <c r="AB14" s="77" t="s">
        <v>84</v>
      </c>
      <c r="AC14" s="224">
        <f>AC4*AC21*AC43*AC44</f>
        <v>4.7557755610381792E-6</v>
      </c>
      <c r="AD14" s="82" t="s">
        <v>107</v>
      </c>
      <c r="AE14" s="38" t="s">
        <v>210</v>
      </c>
      <c r="AF14" s="53">
        <f>B9</f>
        <v>0</v>
      </c>
      <c r="AG14" s="54" t="s">
        <v>11</v>
      </c>
      <c r="AH14" s="176" t="s">
        <v>84</v>
      </c>
      <c r="AI14" s="227">
        <f>AI4*AI21*AI43*AI44</f>
        <v>9.1535457761641632E-6</v>
      </c>
      <c r="AJ14" s="181" t="s">
        <v>107</v>
      </c>
      <c r="AK14" s="176" t="s">
        <v>84</v>
      </c>
      <c r="AL14" s="227">
        <f>AL4*AL21*AL43*AL44</f>
        <v>1.0700495012335905E-5</v>
      </c>
      <c r="AM14" s="181" t="s">
        <v>107</v>
      </c>
    </row>
    <row r="15" spans="1:39" s="1" customFormat="1" ht="14.25" x14ac:dyDescent="0.2">
      <c r="A15" s="57" t="s">
        <v>117</v>
      </c>
      <c r="B15" s="333">
        <v>3.2316400000000001</v>
      </c>
      <c r="C15" s="38" t="s">
        <v>200</v>
      </c>
      <c r="D15" s="54" t="s">
        <v>22</v>
      </c>
      <c r="E15" s="53">
        <f>B7</f>
        <v>1.25E-4</v>
      </c>
      <c r="F15" s="54" t="s">
        <v>201</v>
      </c>
      <c r="G15" s="85" t="s">
        <v>85</v>
      </c>
      <c r="H15" s="233">
        <f>H5*H21*H43*H44</f>
        <v>8.8267881763208612E-7</v>
      </c>
      <c r="I15" s="89" t="s">
        <v>107</v>
      </c>
      <c r="J15" s="85" t="s">
        <v>85</v>
      </c>
      <c r="K15" s="233">
        <f>K5*K21*K43*K44</f>
        <v>1.0318515378119089E-6</v>
      </c>
      <c r="L15" s="89" t="s">
        <v>107</v>
      </c>
      <c r="M15" s="54" t="s">
        <v>22</v>
      </c>
      <c r="N15" s="53">
        <f>B7</f>
        <v>1.25E-4</v>
      </c>
      <c r="O15" s="28" t="s">
        <v>201</v>
      </c>
      <c r="P15" s="93" t="s">
        <v>85</v>
      </c>
      <c r="Q15" s="230">
        <f>Q5*Q21*Q43*Q44</f>
        <v>1.2839446081276328E-6</v>
      </c>
      <c r="R15" s="98" t="s">
        <v>107</v>
      </c>
      <c r="S15" s="93" t="s">
        <v>85</v>
      </c>
      <c r="T15" s="230">
        <f>T5*T21*T43*T44</f>
        <v>1.5009312469012026E-6</v>
      </c>
      <c r="U15" s="98" t="s">
        <v>107</v>
      </c>
      <c r="V15" s="54" t="s">
        <v>22</v>
      </c>
      <c r="W15" s="53">
        <f>B7</f>
        <v>1.25E-4</v>
      </c>
      <c r="X15" s="54" t="s">
        <v>201</v>
      </c>
      <c r="Y15" s="77" t="s">
        <v>85</v>
      </c>
      <c r="Z15" s="224">
        <f>Z5*Z21*Z43*Z44</f>
        <v>1.426605120141814E-6</v>
      </c>
      <c r="AA15" s="82" t="s">
        <v>107</v>
      </c>
      <c r="AB15" s="77" t="s">
        <v>85</v>
      </c>
      <c r="AC15" s="224">
        <f>AC5*AC21*AC43*AC44</f>
        <v>1.6677013854457807E-6</v>
      </c>
      <c r="AD15" s="82" t="s">
        <v>107</v>
      </c>
      <c r="AE15" s="54" t="s">
        <v>22</v>
      </c>
      <c r="AF15" s="53">
        <f>B7</f>
        <v>1.25E-4</v>
      </c>
      <c r="AG15" s="54" t="s">
        <v>201</v>
      </c>
      <c r="AH15" s="176" t="s">
        <v>85</v>
      </c>
      <c r="AI15" s="227">
        <f>AI5*AI21*AI43*AI44</f>
        <v>3.2098615203190813E-6</v>
      </c>
      <c r="AJ15" s="181" t="s">
        <v>107</v>
      </c>
      <c r="AK15" s="176" t="s">
        <v>85</v>
      </c>
      <c r="AL15" s="227">
        <f>AL5*AL21*AL43*AL44</f>
        <v>3.7523281172530065E-6</v>
      </c>
      <c r="AM15" s="181" t="s">
        <v>107</v>
      </c>
    </row>
    <row r="16" spans="1:39" s="1" customFormat="1" ht="15" thickBot="1" x14ac:dyDescent="0.25">
      <c r="A16" s="59" t="s">
        <v>9</v>
      </c>
      <c r="B16" s="333">
        <v>1.04753425E-2</v>
      </c>
      <c r="C16" s="39" t="s">
        <v>118</v>
      </c>
      <c r="D16" s="54" t="s">
        <v>23</v>
      </c>
      <c r="E16" s="53">
        <f>B11</f>
        <v>4.3486799999999998E-4</v>
      </c>
      <c r="F16" s="54" t="s">
        <v>198</v>
      </c>
      <c r="G16" s="87" t="s">
        <v>86</v>
      </c>
      <c r="H16" s="234">
        <f>H6*H21*H43*H44</f>
        <v>5.7119504256384034E-7</v>
      </c>
      <c r="I16" s="90" t="s">
        <v>107</v>
      </c>
      <c r="J16" s="87" t="s">
        <v>86</v>
      </c>
      <c r="K16" s="234">
        <f>K6*K21*K43*K44</f>
        <v>6.6772700475712961E-7</v>
      </c>
      <c r="L16" s="90" t="s">
        <v>107</v>
      </c>
      <c r="M16" s="54" t="s">
        <v>23</v>
      </c>
      <c r="N16" s="53">
        <f>B11</f>
        <v>4.3486799999999998E-4</v>
      </c>
      <c r="O16" s="28" t="s">
        <v>201</v>
      </c>
      <c r="P16" s="95" t="s">
        <v>86</v>
      </c>
      <c r="Q16" s="231">
        <f>Q6*Q21*Q43*Q44</f>
        <v>8.3086030891336205E-7</v>
      </c>
      <c r="R16" s="99" t="s">
        <v>107</v>
      </c>
      <c r="S16" s="95" t="s">
        <v>86</v>
      </c>
      <c r="T16" s="231">
        <f>T6*T21*T43*T44</f>
        <v>9.7127570111972045E-7</v>
      </c>
      <c r="U16" s="99" t="s">
        <v>107</v>
      </c>
      <c r="V16" s="54" t="s">
        <v>23</v>
      </c>
      <c r="W16" s="53">
        <f>B11</f>
        <v>4.3486799999999998E-4</v>
      </c>
      <c r="X16" s="54" t="s">
        <v>201</v>
      </c>
      <c r="Y16" s="79" t="s">
        <v>86</v>
      </c>
      <c r="Z16" s="225">
        <f>Z6*Z21*Z43*Z44</f>
        <v>9.2317812101484685E-7</v>
      </c>
      <c r="AA16" s="83" t="s">
        <v>107</v>
      </c>
      <c r="AB16" s="79" t="s">
        <v>86</v>
      </c>
      <c r="AC16" s="225">
        <f>AC6*AC21*AC43*AC44</f>
        <v>1.0791952234663561E-6</v>
      </c>
      <c r="AD16" s="83" t="s">
        <v>107</v>
      </c>
      <c r="AE16" s="54" t="s">
        <v>23</v>
      </c>
      <c r="AF16" s="53">
        <f>B11</f>
        <v>4.3486799999999998E-4</v>
      </c>
      <c r="AG16" s="54" t="s">
        <v>201</v>
      </c>
      <c r="AH16" s="178" t="s">
        <v>86</v>
      </c>
      <c r="AI16" s="228">
        <f>AI6*AI21*AI43*AI44</f>
        <v>2.0771507722834061E-6</v>
      </c>
      <c r="AJ16" s="182" t="s">
        <v>107</v>
      </c>
      <c r="AK16" s="178" t="s">
        <v>86</v>
      </c>
      <c r="AL16" s="228">
        <f>AL6*AL21*AL43*AL44</f>
        <v>2.4281892527993017E-6</v>
      </c>
      <c r="AM16" s="182" t="s">
        <v>107</v>
      </c>
    </row>
    <row r="17" spans="1:39" s="1" customFormat="1" ht="14.25" x14ac:dyDescent="0.2">
      <c r="A17" s="38" t="s">
        <v>141</v>
      </c>
      <c r="B17" s="331">
        <v>1</v>
      </c>
      <c r="C17" s="40"/>
      <c r="D17" s="28" t="s">
        <v>92</v>
      </c>
      <c r="E17" s="47">
        <f>(E8*E9*E11)/(E12*E14*E22)</f>
        <v>49814.436346455288</v>
      </c>
      <c r="F17" s="28" t="s">
        <v>94</v>
      </c>
      <c r="G17" t="s">
        <v>21</v>
      </c>
      <c r="H17" s="220">
        <f>B6</f>
        <v>1</v>
      </c>
      <c r="I17"/>
      <c r="J17" t="s">
        <v>21</v>
      </c>
      <c r="K17" s="220">
        <f>B6</f>
        <v>1</v>
      </c>
      <c r="L17"/>
      <c r="M17" s="28" t="s">
        <v>92</v>
      </c>
      <c r="N17" s="47" t="e">
        <f>(N8*N9*N11)/(N12*N14*N22*N28)</f>
        <v>#DIV/0!</v>
      </c>
      <c r="O17" s="28" t="s">
        <v>94</v>
      </c>
      <c r="P17" t="s">
        <v>21</v>
      </c>
      <c r="Q17" s="220">
        <f>B6</f>
        <v>1</v>
      </c>
      <c r="R17"/>
      <c r="S17" t="s">
        <v>21</v>
      </c>
      <c r="T17" s="220">
        <f>B6</f>
        <v>1</v>
      </c>
      <c r="U17"/>
      <c r="V17" s="28" t="s">
        <v>92</v>
      </c>
      <c r="W17" s="47" t="e">
        <f>(W8*W9*W11)/(W12*W14*W22*W28)</f>
        <v>#DIV/0!</v>
      </c>
      <c r="X17" s="28" t="s">
        <v>94</v>
      </c>
      <c r="Y17" t="s">
        <v>21</v>
      </c>
      <c r="Z17" s="220">
        <f>B6</f>
        <v>1</v>
      </c>
      <c r="AA17"/>
      <c r="AB17" t="s">
        <v>21</v>
      </c>
      <c r="AC17" s="220">
        <f>B6</f>
        <v>1</v>
      </c>
      <c r="AD17"/>
      <c r="AE17" s="28" t="s">
        <v>92</v>
      </c>
      <c r="AF17" s="47" t="e">
        <f>(AF8*AF9*AF11)/(AF12*AF14*AF22*AF28)</f>
        <v>#DIV/0!</v>
      </c>
      <c r="AG17" s="28" t="s">
        <v>94</v>
      </c>
      <c r="AH17" t="s">
        <v>21</v>
      </c>
      <c r="AI17" s="220">
        <f>B6</f>
        <v>1</v>
      </c>
      <c r="AJ17"/>
      <c r="AK17" t="s">
        <v>21</v>
      </c>
      <c r="AL17" s="220">
        <f>B6</f>
        <v>1</v>
      </c>
      <c r="AM17"/>
    </row>
    <row r="18" spans="1:39" s="1" customFormat="1" ht="19.5" x14ac:dyDescent="0.35">
      <c r="A18" s="38" t="s">
        <v>142</v>
      </c>
      <c r="B18" s="331">
        <v>1</v>
      </c>
      <c r="C18" s="40"/>
      <c r="D18" s="28" t="s">
        <v>166</v>
      </c>
      <c r="E18" s="46">
        <f>(E8*E9*E11)/(E12*E15*E23*(1/E48)*E47*(E41+E42)*(1/24))</f>
        <v>1.6130093904987928</v>
      </c>
      <c r="F18" s="28" t="s">
        <v>94</v>
      </c>
      <c r="G18" s="54" t="s">
        <v>206</v>
      </c>
      <c r="H18" s="221">
        <f>H28</f>
        <v>1</v>
      </c>
      <c r="I18" t="s">
        <v>205</v>
      </c>
      <c r="J18" s="54" t="s">
        <v>206</v>
      </c>
      <c r="K18" s="221">
        <f>K28</f>
        <v>1</v>
      </c>
      <c r="L18" t="s">
        <v>205</v>
      </c>
      <c r="M18" s="28" t="s">
        <v>166</v>
      </c>
      <c r="N18" s="46">
        <f>(N8*N9*N11)/(N12*N15*N29*N25*N28*(1/N38)*N37)</f>
        <v>1.5115462608082468</v>
      </c>
      <c r="O18" s="28" t="s">
        <v>94</v>
      </c>
      <c r="P18" s="54" t="s">
        <v>207</v>
      </c>
      <c r="Q18" s="221">
        <f>Q28</f>
        <v>1</v>
      </c>
      <c r="R18" t="s">
        <v>205</v>
      </c>
      <c r="S18" s="54" t="s">
        <v>207</v>
      </c>
      <c r="T18" s="221">
        <f>T28</f>
        <v>1</v>
      </c>
      <c r="U18" t="s">
        <v>205</v>
      </c>
      <c r="V18" s="28" t="s">
        <v>166</v>
      </c>
      <c r="W18" s="46">
        <f>(W8*W9*W11)/(W12*W15*W29*W25*W28*(1/W38)*W37)</f>
        <v>1.6794958453424964</v>
      </c>
      <c r="X18" s="28" t="s">
        <v>94</v>
      </c>
      <c r="Y18" s="54" t="s">
        <v>208</v>
      </c>
      <c r="Z18" s="221">
        <f>Z28</f>
        <v>1</v>
      </c>
      <c r="AA18" t="s">
        <v>205</v>
      </c>
      <c r="AB18" s="54" t="s">
        <v>208</v>
      </c>
      <c r="AC18" s="221">
        <f>AC28</f>
        <v>1</v>
      </c>
      <c r="AD18" t="s">
        <v>205</v>
      </c>
      <c r="AE18" s="28" t="s">
        <v>166</v>
      </c>
      <c r="AF18" s="46">
        <f>(AF8*AF9*AF11)/(AF12*AF15*AF29*AF25*AF28*(1/AF38)*AF37)</f>
        <v>1.5115462608082468</v>
      </c>
      <c r="AG18" s="28" t="s">
        <v>94</v>
      </c>
      <c r="AH18" s="54" t="s">
        <v>140</v>
      </c>
      <c r="AI18" s="221">
        <f>AI28</f>
        <v>1</v>
      </c>
      <c r="AJ18" t="s">
        <v>205</v>
      </c>
      <c r="AK18" s="54" t="s">
        <v>140</v>
      </c>
      <c r="AL18" s="221">
        <f>AL28</f>
        <v>1</v>
      </c>
      <c r="AM18" t="s">
        <v>205</v>
      </c>
    </row>
    <row r="19" spans="1:39" s="1" customFormat="1" ht="14.25" x14ac:dyDescent="0.2">
      <c r="A19" s="38" t="s">
        <v>143</v>
      </c>
      <c r="B19" s="331">
        <v>1</v>
      </c>
      <c r="C19" s="40"/>
      <c r="D19" s="28" t="s">
        <v>165</v>
      </c>
      <c r="E19" s="46">
        <f>(E8*E9*E11)/(E12*E15*E23*(1/E49)*E47*(E41+E42)*(1/24))</f>
        <v>231.37326647955427</v>
      </c>
      <c r="F19" s="28" t="s">
        <v>94</v>
      </c>
      <c r="G19" s="29" t="s">
        <v>1</v>
      </c>
      <c r="H19" s="51">
        <f>0.693/H21</f>
        <v>66.155354824913829</v>
      </c>
      <c r="I19" s="29"/>
      <c r="J19" s="29" t="s">
        <v>1</v>
      </c>
      <c r="K19" s="51">
        <f>0.693/K21</f>
        <v>66.155354824913829</v>
      </c>
      <c r="L19"/>
      <c r="M19" s="28" t="s">
        <v>165</v>
      </c>
      <c r="N19" s="46">
        <f>(N8*N9*N11)/(N12*N15*N29*N25*N28*(1/N39)*N37)</f>
        <v>216.81919389819086</v>
      </c>
      <c r="O19" s="28" t="s">
        <v>94</v>
      </c>
      <c r="P19" s="29" t="s">
        <v>1</v>
      </c>
      <c r="Q19" s="51">
        <f>0.693/Q21</f>
        <v>66.155354824913829</v>
      </c>
      <c r="R19" s="29"/>
      <c r="S19" s="29" t="s">
        <v>1</v>
      </c>
      <c r="T19" s="51">
        <f>0.693/T21</f>
        <v>66.155354824913829</v>
      </c>
      <c r="U19"/>
      <c r="V19" s="28" t="s">
        <v>165</v>
      </c>
      <c r="W19" s="46">
        <f>(W8*W9*W11)/(W12*W15*W29*W25*W28*(1/W39)*W37)</f>
        <v>240.91021544243426</v>
      </c>
      <c r="X19" s="28" t="s">
        <v>94</v>
      </c>
      <c r="Y19" s="29" t="s">
        <v>1</v>
      </c>
      <c r="Z19" s="51">
        <f>0.693/Z21</f>
        <v>66.155354824913829</v>
      </c>
      <c r="AA19"/>
      <c r="AB19" s="29" t="s">
        <v>1</v>
      </c>
      <c r="AC19" s="51">
        <f>0.693/AC21</f>
        <v>66.155354824913829</v>
      </c>
      <c r="AD19" s="29"/>
      <c r="AE19" s="28" t="s">
        <v>165</v>
      </c>
      <c r="AF19" s="46">
        <f>(AF8*AF9*AF11)/(AF12*AF15*AF29*AF25*AF28*(1/AF39)*AF37)</f>
        <v>216.81919389819086</v>
      </c>
      <c r="AG19" s="28" t="s">
        <v>94</v>
      </c>
      <c r="AH19" s="29" t="s">
        <v>1</v>
      </c>
      <c r="AI19" s="51">
        <f>0.693/AI21</f>
        <v>66.155354824913829</v>
      </c>
      <c r="AJ19" s="29"/>
      <c r="AK19" s="29" t="s">
        <v>1</v>
      </c>
      <c r="AL19" s="51">
        <f>0.693/AL21</f>
        <v>66.155354824913829</v>
      </c>
      <c r="AM19"/>
    </row>
    <row r="20" spans="1:39" s="1" customFormat="1" ht="14.25" x14ac:dyDescent="0.2">
      <c r="A20" s="38" t="s">
        <v>144</v>
      </c>
      <c r="B20" s="331">
        <v>1</v>
      </c>
      <c r="C20"/>
      <c r="D20" s="28" t="s">
        <v>93</v>
      </c>
      <c r="E20" s="45">
        <f>(E8*E9*E11)/(E12*E16*E39*E40*E28*(1/365)*E46*((E41*E44)+(E42*E45))*(1/24))</f>
        <v>458076.5706143995</v>
      </c>
      <c r="F20" s="28" t="s">
        <v>94</v>
      </c>
      <c r="G20" s="28" t="s">
        <v>126</v>
      </c>
      <c r="H20" s="51">
        <f>(1-EXP(-H19*H18))</f>
        <v>1</v>
      </c>
      <c r="I20"/>
      <c r="J20" s="28" t="s">
        <v>126</v>
      </c>
      <c r="K20" s="51">
        <f>(1-EXP(-K19*K18))</f>
        <v>1</v>
      </c>
      <c r="L20"/>
      <c r="M20" s="28" t="s">
        <v>93</v>
      </c>
      <c r="N20" s="45">
        <f>(N8*N9*N11)/(N12*N16*N31*N32*N36*N28*(1/365)*N34*N25*(1/24))</f>
        <v>666318.17961570539</v>
      </c>
      <c r="O20" s="28" t="s">
        <v>94</v>
      </c>
      <c r="P20" s="28" t="s">
        <v>126</v>
      </c>
      <c r="Q20" s="51">
        <f>(1-EXP(-Q19*Q18))</f>
        <v>1</v>
      </c>
      <c r="R20"/>
      <c r="S20" s="28" t="s">
        <v>126</v>
      </c>
      <c r="T20" s="51">
        <f>(1-EXP(-T19*T18))</f>
        <v>1</v>
      </c>
      <c r="U20"/>
      <c r="V20" s="28" t="s">
        <v>93</v>
      </c>
      <c r="W20" s="45">
        <f>(W8*W9*W11)/(W12*W16*W31*W32*W36*W28*(1/365)*W34*W25*(1/24))</f>
        <v>740353.53290633939</v>
      </c>
      <c r="X20" s="28" t="s">
        <v>94</v>
      </c>
      <c r="Y20" s="28" t="s">
        <v>126</v>
      </c>
      <c r="Z20" s="51">
        <f>(1-EXP(-Z19*Z18))</f>
        <v>1</v>
      </c>
      <c r="AA20"/>
      <c r="AB20" s="28" t="s">
        <v>126</v>
      </c>
      <c r="AC20" s="51">
        <f>(1-EXP(-AC19*AC18))</f>
        <v>1</v>
      </c>
      <c r="AD20"/>
      <c r="AE20" s="28" t="s">
        <v>93</v>
      </c>
      <c r="AF20" s="45">
        <f>(AF8*AF9*AF11)/(AF12*AF16*AF35*AF31*AF32*AF36*AF25*(1/24)*AF28*(1/365))</f>
        <v>1665795.4490392637</v>
      </c>
      <c r="AG20" s="28" t="s">
        <v>94</v>
      </c>
      <c r="AH20" s="28" t="s">
        <v>126</v>
      </c>
      <c r="AI20" s="51">
        <f>(1-EXP(-AI19*AI18))</f>
        <v>1</v>
      </c>
      <c r="AJ20"/>
      <c r="AK20" s="28" t="s">
        <v>126</v>
      </c>
      <c r="AL20" s="51">
        <f>(1-EXP(-AL19*AL18))</f>
        <v>1</v>
      </c>
      <c r="AM20"/>
    </row>
    <row r="21" spans="1:39" s="1" customFormat="1" ht="14.25" x14ac:dyDescent="0.2">
      <c r="A21" s="38" t="s">
        <v>145</v>
      </c>
      <c r="B21" s="331">
        <v>1</v>
      </c>
      <c r="C21"/>
      <c r="D21" s="28"/>
      <c r="E21" s="32"/>
      <c r="F21" s="28"/>
      <c r="G21" s="56" t="s">
        <v>9</v>
      </c>
      <c r="H21" s="53">
        <f>B16</f>
        <v>1.04753425E-2</v>
      </c>
      <c r="I21" s="2" t="s">
        <v>10</v>
      </c>
      <c r="J21" s="56" t="s">
        <v>9</v>
      </c>
      <c r="K21" s="43">
        <f>B16</f>
        <v>1.04753425E-2</v>
      </c>
      <c r="L21" s="1" t="s">
        <v>10</v>
      </c>
      <c r="M21" s="28"/>
      <c r="N21" s="32"/>
      <c r="O21" s="28"/>
      <c r="P21" s="56" t="s">
        <v>9</v>
      </c>
      <c r="Q21" s="53">
        <f>B16</f>
        <v>1.04753425E-2</v>
      </c>
      <c r="R21" s="2" t="s">
        <v>10</v>
      </c>
      <c r="S21" s="56" t="s">
        <v>9</v>
      </c>
      <c r="T21" s="43">
        <f>B16</f>
        <v>1.04753425E-2</v>
      </c>
      <c r="U21" s="1" t="s">
        <v>10</v>
      </c>
      <c r="V21" s="28"/>
      <c r="W21" s="28"/>
      <c r="X21" s="28"/>
      <c r="Y21" s="56" t="s">
        <v>9</v>
      </c>
      <c r="Z21" s="43">
        <f>B16</f>
        <v>1.04753425E-2</v>
      </c>
      <c r="AA21" s="1" t="s">
        <v>10</v>
      </c>
      <c r="AB21" s="56" t="s">
        <v>9</v>
      </c>
      <c r="AC21" s="53">
        <f>B16</f>
        <v>1.04753425E-2</v>
      </c>
      <c r="AD21" s="2" t="s">
        <v>10</v>
      </c>
      <c r="AE21" s="28"/>
      <c r="AF21" s="32"/>
      <c r="AG21" s="28"/>
      <c r="AH21" s="56" t="s">
        <v>9</v>
      </c>
      <c r="AI21" s="53">
        <f>B16</f>
        <v>1.04753425E-2</v>
      </c>
      <c r="AJ21" s="2" t="s">
        <v>10</v>
      </c>
      <c r="AK21" s="56" t="s">
        <v>9</v>
      </c>
      <c r="AL21" s="43">
        <f>B16</f>
        <v>1.04753425E-2</v>
      </c>
      <c r="AM21" s="1" t="s">
        <v>10</v>
      </c>
    </row>
    <row r="22" spans="1:39" s="1" customFormat="1" ht="14.25" x14ac:dyDescent="0.2">
      <c r="A22" s="58" t="s">
        <v>102</v>
      </c>
      <c r="B22" s="209">
        <v>222.01757699999999</v>
      </c>
      <c r="C22" s="40" t="s">
        <v>103</v>
      </c>
      <c r="D22" s="60" t="s">
        <v>220</v>
      </c>
      <c r="E22" s="61">
        <f>(E24*E27*E29*E25*E31*E33*E35)+(E24*E26*E28*E25*E32*E30*E34)</f>
        <v>39291</v>
      </c>
      <c r="F22" s="62" t="s">
        <v>24</v>
      </c>
      <c r="G22" s="38" t="s">
        <v>113</v>
      </c>
      <c r="H22" s="220">
        <f>B10</f>
        <v>2.1295200000000002E-3</v>
      </c>
      <c r="I22" s="38" t="s">
        <v>198</v>
      </c>
      <c r="J22" s="38" t="s">
        <v>113</v>
      </c>
      <c r="K22" s="220">
        <f>B10</f>
        <v>2.1295200000000002E-3</v>
      </c>
      <c r="L22" s="38" t="s">
        <v>198</v>
      </c>
      <c r="M22" s="60" t="s">
        <v>217</v>
      </c>
      <c r="N22" s="71">
        <f>N23*N25*N24*N26*N27</f>
        <v>196</v>
      </c>
      <c r="O22" s="62" t="s">
        <v>24</v>
      </c>
      <c r="P22" s="38" t="s">
        <v>113</v>
      </c>
      <c r="Q22" s="220">
        <f>B10</f>
        <v>2.1295200000000002E-3</v>
      </c>
      <c r="R22" s="38" t="s">
        <v>198</v>
      </c>
      <c r="S22" s="38" t="s">
        <v>113</v>
      </c>
      <c r="T22" s="220">
        <f>B10</f>
        <v>2.1295200000000002E-3</v>
      </c>
      <c r="U22" s="38" t="s">
        <v>198</v>
      </c>
      <c r="V22" s="60" t="s">
        <v>218</v>
      </c>
      <c r="W22" s="71">
        <f>W23*W25*W24*W26*W27</f>
        <v>196</v>
      </c>
      <c r="X22" s="62" t="s">
        <v>24</v>
      </c>
      <c r="Y22" s="38" t="s">
        <v>113</v>
      </c>
      <c r="Z22" s="220">
        <f>B10</f>
        <v>2.1295200000000002E-3</v>
      </c>
      <c r="AA22" s="38" t="s">
        <v>198</v>
      </c>
      <c r="AB22" s="38" t="s">
        <v>113</v>
      </c>
      <c r="AC22" s="220">
        <f>B10</f>
        <v>2.1295200000000002E-3</v>
      </c>
      <c r="AD22" s="38" t="s">
        <v>198</v>
      </c>
      <c r="AE22" s="60" t="s">
        <v>219</v>
      </c>
      <c r="AF22" s="71">
        <f>AF23*AF25*AF24*AF26*AF27</f>
        <v>294</v>
      </c>
      <c r="AG22" s="62" t="s">
        <v>24</v>
      </c>
      <c r="AH22" s="38" t="s">
        <v>113</v>
      </c>
      <c r="AI22" s="220">
        <f>B10</f>
        <v>2.1295200000000002E-3</v>
      </c>
      <c r="AJ22" s="38" t="s">
        <v>198</v>
      </c>
      <c r="AK22" s="38" t="s">
        <v>113</v>
      </c>
      <c r="AL22" s="220">
        <f>B10</f>
        <v>2.1295200000000002E-3</v>
      </c>
      <c r="AM22" s="38" t="s">
        <v>198</v>
      </c>
    </row>
    <row r="23" spans="1:39" s="1" customFormat="1" ht="14.25" x14ac:dyDescent="0.2">
      <c r="A23" t="s">
        <v>90</v>
      </c>
      <c r="B23" s="188">
        <v>1.169</v>
      </c>
      <c r="C23"/>
      <c r="D23" s="63" t="s">
        <v>221</v>
      </c>
      <c r="E23" s="64">
        <f>(E37*E29*E31)+(E36*E28*E30)</f>
        <v>6195</v>
      </c>
      <c r="F23" s="65" t="s">
        <v>25</v>
      </c>
      <c r="G23" s="38" t="s">
        <v>23</v>
      </c>
      <c r="H23" s="220">
        <f>B11</f>
        <v>4.3486799999999998E-4</v>
      </c>
      <c r="I23" s="38" t="s">
        <v>199</v>
      </c>
      <c r="J23" s="38" t="s">
        <v>23</v>
      </c>
      <c r="K23" s="220">
        <f>B11</f>
        <v>4.3486799999999998E-4</v>
      </c>
      <c r="L23" s="38" t="s">
        <v>199</v>
      </c>
      <c r="M23" s="63" t="s">
        <v>162</v>
      </c>
      <c r="N23" s="66">
        <f>B27</f>
        <v>0.5</v>
      </c>
      <c r="O23" s="65"/>
      <c r="P23" s="38" t="s">
        <v>23</v>
      </c>
      <c r="Q23" s="220">
        <f>B11</f>
        <v>4.3486799999999998E-4</v>
      </c>
      <c r="R23" s="38" t="s">
        <v>199</v>
      </c>
      <c r="S23" s="38" t="s">
        <v>23</v>
      </c>
      <c r="T23" s="220">
        <f>B11</f>
        <v>4.3486799999999998E-4</v>
      </c>
      <c r="U23" s="38" t="s">
        <v>199</v>
      </c>
      <c r="V23" s="63" t="s">
        <v>162</v>
      </c>
      <c r="W23" s="66">
        <f>B27</f>
        <v>0.5</v>
      </c>
      <c r="X23" s="65"/>
      <c r="Y23" s="38" t="s">
        <v>23</v>
      </c>
      <c r="Z23" s="220">
        <f>B11</f>
        <v>4.3486799999999998E-4</v>
      </c>
      <c r="AA23" s="38" t="s">
        <v>199</v>
      </c>
      <c r="AB23" s="38" t="s">
        <v>23</v>
      </c>
      <c r="AC23" s="220">
        <f>B11</f>
        <v>4.3486799999999998E-4</v>
      </c>
      <c r="AD23" s="38" t="s">
        <v>199</v>
      </c>
      <c r="AE23" s="63" t="s">
        <v>162</v>
      </c>
      <c r="AF23" s="66">
        <f>B27</f>
        <v>0.5</v>
      </c>
      <c r="AG23" s="65"/>
      <c r="AH23" s="38" t="s">
        <v>23</v>
      </c>
      <c r="AI23" s="220">
        <f>B11</f>
        <v>4.3486799999999998E-4</v>
      </c>
      <c r="AJ23" s="38" t="s">
        <v>199</v>
      </c>
      <c r="AK23" s="38" t="s">
        <v>23</v>
      </c>
      <c r="AL23" s="220">
        <f>B11</f>
        <v>4.3486799999999998E-4</v>
      </c>
      <c r="AM23" s="38" t="s">
        <v>199</v>
      </c>
    </row>
    <row r="24" spans="1:39" s="1" customFormat="1" ht="14.25" x14ac:dyDescent="0.2">
      <c r="A24" s="28" t="s">
        <v>139</v>
      </c>
      <c r="B24" s="55">
        <v>1</v>
      </c>
      <c r="C24"/>
      <c r="D24" s="63" t="s">
        <v>162</v>
      </c>
      <c r="E24" s="66">
        <f>B27</f>
        <v>0.5</v>
      </c>
      <c r="F24" s="65"/>
      <c r="G24" s="38" t="s">
        <v>114</v>
      </c>
      <c r="H24" s="220">
        <f>B12</f>
        <v>4.4084799999999998E-4</v>
      </c>
      <c r="I24" s="38" t="s">
        <v>198</v>
      </c>
      <c r="J24" s="38" t="s">
        <v>114</v>
      </c>
      <c r="K24" s="220">
        <f>B12</f>
        <v>4.4084799999999998E-4</v>
      </c>
      <c r="L24" s="38" t="s">
        <v>198</v>
      </c>
      <c r="M24" s="63" t="s">
        <v>119</v>
      </c>
      <c r="N24" s="66">
        <f>B28</f>
        <v>0.5</v>
      </c>
      <c r="O24" s="65"/>
      <c r="P24" s="38" t="s">
        <v>114</v>
      </c>
      <c r="Q24" s="220">
        <f>B12</f>
        <v>4.4084799999999998E-4</v>
      </c>
      <c r="R24" s="38" t="s">
        <v>198</v>
      </c>
      <c r="S24" s="38" t="s">
        <v>114</v>
      </c>
      <c r="T24" s="220">
        <f>B12</f>
        <v>4.4084799999999998E-4</v>
      </c>
      <c r="U24" s="38" t="s">
        <v>198</v>
      </c>
      <c r="V24" s="63" t="s">
        <v>119</v>
      </c>
      <c r="W24" s="66">
        <f>B28</f>
        <v>0.5</v>
      </c>
      <c r="X24" s="65"/>
      <c r="Y24" s="38" t="s">
        <v>114</v>
      </c>
      <c r="Z24" s="220">
        <f>B12</f>
        <v>4.4084799999999998E-4</v>
      </c>
      <c r="AA24" s="38" t="s">
        <v>198</v>
      </c>
      <c r="AB24" s="38" t="s">
        <v>114</v>
      </c>
      <c r="AC24" s="220">
        <f>B12</f>
        <v>4.4084799999999998E-4</v>
      </c>
      <c r="AD24" s="38" t="s">
        <v>198</v>
      </c>
      <c r="AE24" s="63" t="s">
        <v>119</v>
      </c>
      <c r="AF24" s="66">
        <f>B28</f>
        <v>0.5</v>
      </c>
      <c r="AG24" s="65"/>
      <c r="AH24" s="38" t="s">
        <v>114</v>
      </c>
      <c r="AI24" s="220">
        <f>B12</f>
        <v>4.4084799999999998E-4</v>
      </c>
      <c r="AJ24" s="38" t="s">
        <v>198</v>
      </c>
      <c r="AK24" s="38" t="s">
        <v>114</v>
      </c>
      <c r="AL24" s="220">
        <f>B12</f>
        <v>4.4084799999999998E-4</v>
      </c>
      <c r="AM24" s="38" t="s">
        <v>198</v>
      </c>
    </row>
    <row r="25" spans="1:39" s="1" customFormat="1" ht="14.25" x14ac:dyDescent="0.2">
      <c r="A25" s="28" t="s">
        <v>3</v>
      </c>
      <c r="B25" s="55">
        <v>1</v>
      </c>
      <c r="C25" s="37"/>
      <c r="D25" s="63" t="s">
        <v>119</v>
      </c>
      <c r="E25" s="66">
        <f>B28</f>
        <v>0.5</v>
      </c>
      <c r="F25" s="65"/>
      <c r="G25" s="38" t="s">
        <v>115</v>
      </c>
      <c r="H25" s="220">
        <f>B13</f>
        <v>1.2571640000000001E-3</v>
      </c>
      <c r="I25" s="38" t="s">
        <v>198</v>
      </c>
      <c r="J25" s="38" t="s">
        <v>115</v>
      </c>
      <c r="K25" s="220">
        <f>B13</f>
        <v>1.2571640000000001E-3</v>
      </c>
      <c r="L25" s="38" t="s">
        <v>198</v>
      </c>
      <c r="M25" s="63" t="s">
        <v>122</v>
      </c>
      <c r="N25" s="66">
        <f>B58</f>
        <v>8</v>
      </c>
      <c r="O25" s="65" t="s">
        <v>203</v>
      </c>
      <c r="P25" s="38" t="s">
        <v>115</v>
      </c>
      <c r="Q25" s="220">
        <f>B13</f>
        <v>1.2571640000000001E-3</v>
      </c>
      <c r="R25" s="38" t="s">
        <v>198</v>
      </c>
      <c r="S25" s="38" t="s">
        <v>115</v>
      </c>
      <c r="T25" s="220">
        <f>B13</f>
        <v>1.2571640000000001E-3</v>
      </c>
      <c r="U25" s="38" t="s">
        <v>198</v>
      </c>
      <c r="V25" s="63" t="s">
        <v>132</v>
      </c>
      <c r="W25" s="66">
        <f>B67</f>
        <v>8</v>
      </c>
      <c r="X25" s="65" t="s">
        <v>203</v>
      </c>
      <c r="Y25" s="38" t="s">
        <v>115</v>
      </c>
      <c r="Z25" s="220">
        <f>B13</f>
        <v>1.2571640000000001E-3</v>
      </c>
      <c r="AA25" s="38" t="s">
        <v>198</v>
      </c>
      <c r="AB25" s="38" t="s">
        <v>115</v>
      </c>
      <c r="AC25" s="220">
        <f>B13</f>
        <v>1.2571640000000001E-3</v>
      </c>
      <c r="AD25" s="38" t="s">
        <v>198</v>
      </c>
      <c r="AE25" s="63" t="s">
        <v>14</v>
      </c>
      <c r="AF25" s="66">
        <f>B76</f>
        <v>8</v>
      </c>
      <c r="AG25" s="65" t="s">
        <v>203</v>
      </c>
      <c r="AH25" s="38" t="s">
        <v>115</v>
      </c>
      <c r="AI25" s="220">
        <f>B13</f>
        <v>1.2571640000000001E-3</v>
      </c>
      <c r="AJ25" s="38" t="s">
        <v>198</v>
      </c>
      <c r="AK25" s="38" t="s">
        <v>115</v>
      </c>
      <c r="AL25" s="220">
        <f>B13</f>
        <v>1.2571640000000001E-3</v>
      </c>
      <c r="AM25" s="38" t="s">
        <v>198</v>
      </c>
    </row>
    <row r="26" spans="1:39" s="1" customFormat="1" ht="14.25" x14ac:dyDescent="0.2">
      <c r="A26" s="28" t="s">
        <v>27</v>
      </c>
      <c r="B26" s="55">
        <v>1</v>
      </c>
      <c r="C26" s="37"/>
      <c r="D26" s="67" t="s">
        <v>159</v>
      </c>
      <c r="E26" s="66">
        <f>B40</f>
        <v>4</v>
      </c>
      <c r="F26" s="65" t="s">
        <v>203</v>
      </c>
      <c r="G26" s="38" t="s">
        <v>116</v>
      </c>
      <c r="H26" s="220">
        <f>B14</f>
        <v>1.94272E-3</v>
      </c>
      <c r="I26" s="38" t="s">
        <v>198</v>
      </c>
      <c r="J26" s="38" t="s">
        <v>116</v>
      </c>
      <c r="K26" s="220">
        <f>B14</f>
        <v>1.94272E-3</v>
      </c>
      <c r="L26" s="38" t="s">
        <v>198</v>
      </c>
      <c r="M26" s="63" t="s">
        <v>136</v>
      </c>
      <c r="N26" s="66">
        <f>B62</f>
        <v>49</v>
      </c>
      <c r="O26" s="65" t="s">
        <v>24</v>
      </c>
      <c r="P26" s="38" t="s">
        <v>116</v>
      </c>
      <c r="Q26" s="220">
        <f>B14</f>
        <v>1.94272E-3</v>
      </c>
      <c r="R26" s="38" t="s">
        <v>198</v>
      </c>
      <c r="S26" s="38" t="s">
        <v>116</v>
      </c>
      <c r="T26" s="220">
        <f>B14</f>
        <v>1.94272E-3</v>
      </c>
      <c r="U26" s="38" t="s">
        <v>198</v>
      </c>
      <c r="V26" s="63" t="s">
        <v>130</v>
      </c>
      <c r="W26" s="66">
        <f>B71</f>
        <v>49</v>
      </c>
      <c r="X26" s="65" t="s">
        <v>24</v>
      </c>
      <c r="Y26" s="38" t="s">
        <v>116</v>
      </c>
      <c r="Z26" s="220">
        <f>B14</f>
        <v>1.94272E-3</v>
      </c>
      <c r="AA26" s="38" t="s">
        <v>198</v>
      </c>
      <c r="AB26" s="38" t="s">
        <v>116</v>
      </c>
      <c r="AC26" s="220">
        <f>B14</f>
        <v>1.94272E-3</v>
      </c>
      <c r="AD26" s="38" t="s">
        <v>198</v>
      </c>
      <c r="AE26" s="63" t="s">
        <v>17</v>
      </c>
      <c r="AF26" s="66">
        <f>B80</f>
        <v>49</v>
      </c>
      <c r="AG26" s="65" t="s">
        <v>24</v>
      </c>
      <c r="AH26" s="38" t="s">
        <v>116</v>
      </c>
      <c r="AI26" s="220">
        <f>B14</f>
        <v>1.94272E-3</v>
      </c>
      <c r="AJ26" s="38" t="s">
        <v>198</v>
      </c>
      <c r="AK26" s="38" t="s">
        <v>116</v>
      </c>
      <c r="AL26" s="220">
        <f>B14</f>
        <v>1.94272E-3</v>
      </c>
      <c r="AM26" s="38" t="s">
        <v>198</v>
      </c>
    </row>
    <row r="27" spans="1:39" s="1" customFormat="1" ht="14.25" x14ac:dyDescent="0.2">
      <c r="A27" s="28" t="s">
        <v>162</v>
      </c>
      <c r="B27" s="55">
        <v>0.5</v>
      </c>
      <c r="C27" s="37"/>
      <c r="D27" s="67" t="s">
        <v>158</v>
      </c>
      <c r="E27" s="66">
        <f>B39</f>
        <v>4</v>
      </c>
      <c r="F27" s="65" t="s">
        <v>203</v>
      </c>
      <c r="G27" s="40" t="s">
        <v>155</v>
      </c>
      <c r="H27" s="222">
        <f>B35</f>
        <v>350</v>
      </c>
      <c r="I27" s="29" t="s">
        <v>202</v>
      </c>
      <c r="J27" s="40" t="s">
        <v>155</v>
      </c>
      <c r="K27" s="221">
        <f>B35</f>
        <v>350</v>
      </c>
      <c r="L27" t="s">
        <v>202</v>
      </c>
      <c r="M27" s="68" t="s">
        <v>137</v>
      </c>
      <c r="N27" s="69">
        <f>B64</f>
        <v>2</v>
      </c>
      <c r="O27" s="70" t="s">
        <v>204</v>
      </c>
      <c r="P27" s="29" t="s">
        <v>87</v>
      </c>
      <c r="Q27" s="222">
        <f>B57</f>
        <v>250</v>
      </c>
      <c r="R27" s="29" t="s">
        <v>202</v>
      </c>
      <c r="S27" s="29" t="s">
        <v>87</v>
      </c>
      <c r="T27" s="221">
        <f>B57</f>
        <v>250</v>
      </c>
      <c r="U27" t="s">
        <v>202</v>
      </c>
      <c r="V27" s="68" t="s">
        <v>131</v>
      </c>
      <c r="W27" s="69">
        <f>B73</f>
        <v>2</v>
      </c>
      <c r="X27" s="70" t="s">
        <v>204</v>
      </c>
      <c r="Y27" s="29" t="s">
        <v>87</v>
      </c>
      <c r="Z27" s="32">
        <f>B66</f>
        <v>225</v>
      </c>
      <c r="AA27" t="s">
        <v>202</v>
      </c>
      <c r="AB27" s="29" t="s">
        <v>87</v>
      </c>
      <c r="AC27" s="222">
        <f>B66</f>
        <v>225</v>
      </c>
      <c r="AD27" s="29" t="s">
        <v>202</v>
      </c>
      <c r="AE27" s="68" t="s">
        <v>18</v>
      </c>
      <c r="AF27" s="69">
        <f>B82</f>
        <v>3</v>
      </c>
      <c r="AG27" s="70" t="s">
        <v>204</v>
      </c>
      <c r="AH27" s="29" t="s">
        <v>87</v>
      </c>
      <c r="AI27" s="222">
        <f>B75</f>
        <v>250</v>
      </c>
      <c r="AJ27" s="29" t="s">
        <v>202</v>
      </c>
      <c r="AK27" s="29" t="s">
        <v>87</v>
      </c>
      <c r="AL27" s="221">
        <f>B75</f>
        <v>250</v>
      </c>
      <c r="AM27" t="s">
        <v>202</v>
      </c>
    </row>
    <row r="28" spans="1:39" s="1" customFormat="1" ht="14.25" x14ac:dyDescent="0.2">
      <c r="A28" s="28" t="s">
        <v>119</v>
      </c>
      <c r="B28" s="55">
        <v>0.5</v>
      </c>
      <c r="C28" s="40"/>
      <c r="D28" s="67" t="s">
        <v>157</v>
      </c>
      <c r="E28" s="66">
        <f>B37</f>
        <v>350</v>
      </c>
      <c r="F28" s="65" t="s">
        <v>202</v>
      </c>
      <c r="G28" s="40" t="s">
        <v>125</v>
      </c>
      <c r="H28" s="221">
        <f>B43</f>
        <v>1</v>
      </c>
      <c r="I28" t="s">
        <v>205</v>
      </c>
      <c r="J28" s="40" t="s">
        <v>125</v>
      </c>
      <c r="K28" s="221">
        <f>B43</f>
        <v>1</v>
      </c>
      <c r="L28" t="s">
        <v>205</v>
      </c>
      <c r="M28" s="73" t="s">
        <v>133</v>
      </c>
      <c r="N28" s="66">
        <f>B57</f>
        <v>250</v>
      </c>
      <c r="O28" s="74" t="s">
        <v>202</v>
      </c>
      <c r="P28" t="s">
        <v>28</v>
      </c>
      <c r="Q28" s="221">
        <f>B61</f>
        <v>1</v>
      </c>
      <c r="R28" t="s">
        <v>205</v>
      </c>
      <c r="S28" s="29" t="s">
        <v>28</v>
      </c>
      <c r="T28" s="221">
        <f>B61</f>
        <v>1</v>
      </c>
      <c r="U28" t="s">
        <v>205</v>
      </c>
      <c r="V28" s="74" t="s">
        <v>128</v>
      </c>
      <c r="W28" s="66">
        <f>B66</f>
        <v>225</v>
      </c>
      <c r="X28" s="74" t="s">
        <v>202</v>
      </c>
      <c r="Y28" t="s">
        <v>28</v>
      </c>
      <c r="Z28" s="221">
        <f>B70</f>
        <v>1</v>
      </c>
      <c r="AA28" t="s">
        <v>205</v>
      </c>
      <c r="AB28" t="s">
        <v>28</v>
      </c>
      <c r="AC28" s="221">
        <f>B70</f>
        <v>1</v>
      </c>
      <c r="AD28" t="s">
        <v>205</v>
      </c>
      <c r="AE28" s="74" t="s">
        <v>13</v>
      </c>
      <c r="AF28" s="66">
        <f>B75</f>
        <v>250</v>
      </c>
      <c r="AG28" s="74" t="s">
        <v>202</v>
      </c>
      <c r="AH28" t="s">
        <v>28</v>
      </c>
      <c r="AI28" s="221">
        <f>B79</f>
        <v>1</v>
      </c>
      <c r="AJ28" t="s">
        <v>205</v>
      </c>
      <c r="AK28" t="s">
        <v>28</v>
      </c>
      <c r="AL28" s="221">
        <f>B79</f>
        <v>1</v>
      </c>
      <c r="AM28" t="s">
        <v>205</v>
      </c>
    </row>
    <row r="29" spans="1:39" s="1" customFormat="1" ht="14.25" x14ac:dyDescent="0.2">
      <c r="A29" s="28" t="s">
        <v>29</v>
      </c>
      <c r="B29" s="55">
        <v>0.4</v>
      </c>
      <c r="C29" s="28"/>
      <c r="D29" s="67" t="s">
        <v>156</v>
      </c>
      <c r="E29" s="66">
        <f>B36</f>
        <v>350</v>
      </c>
      <c r="F29" s="65" t="s">
        <v>202</v>
      </c>
      <c r="G29" t="s">
        <v>88</v>
      </c>
      <c r="H29" s="221">
        <f>B31</f>
        <v>0.4</v>
      </c>
      <c r="I29"/>
      <c r="J29" t="s">
        <v>88</v>
      </c>
      <c r="K29" s="221">
        <f>B31</f>
        <v>0.4</v>
      </c>
      <c r="L29"/>
      <c r="M29" s="74" t="s">
        <v>134</v>
      </c>
      <c r="N29" s="66">
        <f>B63</f>
        <v>2.5</v>
      </c>
      <c r="O29" s="74" t="s">
        <v>26</v>
      </c>
      <c r="P29"/>
      <c r="Q29" s="221"/>
      <c r="R29"/>
      <c r="S29"/>
      <c r="T29" s="221"/>
      <c r="U29"/>
      <c r="V29" s="74" t="s">
        <v>127</v>
      </c>
      <c r="W29" s="66">
        <v>2.5</v>
      </c>
      <c r="X29" s="74" t="s">
        <v>26</v>
      </c>
      <c r="Y29"/>
      <c r="Z29" s="221"/>
      <c r="AA29"/>
      <c r="AB29"/>
      <c r="AC29" s="221"/>
      <c r="AD29"/>
      <c r="AE29" s="74" t="s">
        <v>12</v>
      </c>
      <c r="AF29" s="66">
        <f>B81</f>
        <v>2.5</v>
      </c>
      <c r="AG29" s="74" t="s">
        <v>26</v>
      </c>
      <c r="AH29"/>
      <c r="AI29" s="221"/>
      <c r="AJ29"/>
      <c r="AK29"/>
      <c r="AL29" s="221"/>
      <c r="AM29"/>
    </row>
    <row r="30" spans="1:39" s="1" customFormat="1" ht="14.25" x14ac:dyDescent="0.2">
      <c r="A30" s="54" t="s">
        <v>99</v>
      </c>
      <c r="B30" s="55">
        <v>1</v>
      </c>
      <c r="C30" s="28"/>
      <c r="D30" s="63" t="s">
        <v>163</v>
      </c>
      <c r="E30" s="66">
        <f>B54</f>
        <v>0.77</v>
      </c>
      <c r="F30" s="65"/>
      <c r="G30" t="s">
        <v>99</v>
      </c>
      <c r="H30" s="221">
        <f>B30</f>
        <v>1</v>
      </c>
      <c r="I30"/>
      <c r="J30" t="s">
        <v>99</v>
      </c>
      <c r="K30" s="221">
        <f>B30</f>
        <v>1</v>
      </c>
      <c r="L30"/>
      <c r="M30" s="28" t="s">
        <v>135</v>
      </c>
      <c r="N30" s="32">
        <f>B61</f>
        <v>1</v>
      </c>
      <c r="O30" s="28" t="s">
        <v>205</v>
      </c>
      <c r="P30" t="s">
        <v>99</v>
      </c>
      <c r="Q30" s="221">
        <f>B30</f>
        <v>1</v>
      </c>
      <c r="R30"/>
      <c r="S30" t="s">
        <v>99</v>
      </c>
      <c r="T30" s="221">
        <f>B30</f>
        <v>1</v>
      </c>
      <c r="U30"/>
      <c r="V30" s="28" t="s">
        <v>129</v>
      </c>
      <c r="W30" s="32">
        <f>B70</f>
        <v>1</v>
      </c>
      <c r="X30" s="28" t="s">
        <v>205</v>
      </c>
      <c r="Y30" t="s">
        <v>99</v>
      </c>
      <c r="Z30" s="221">
        <f>B30</f>
        <v>1</v>
      </c>
      <c r="AA30"/>
      <c r="AB30" t="s">
        <v>99</v>
      </c>
      <c r="AC30" s="221">
        <f>B30</f>
        <v>1</v>
      </c>
      <c r="AD30"/>
      <c r="AE30" s="28" t="s">
        <v>15</v>
      </c>
      <c r="AF30" s="32">
        <f>B79</f>
        <v>1</v>
      </c>
      <c r="AG30" s="28" t="s">
        <v>205</v>
      </c>
      <c r="AH30" s="28" t="s">
        <v>16</v>
      </c>
      <c r="AI30" s="221">
        <f>B31</f>
        <v>0.4</v>
      </c>
      <c r="AJ30"/>
      <c r="AK30" s="28" t="s">
        <v>16</v>
      </c>
      <c r="AL30" s="221">
        <f>B31</f>
        <v>0.4</v>
      </c>
      <c r="AM30"/>
    </row>
    <row r="31" spans="1:39" s="1" customFormat="1" ht="14.25" x14ac:dyDescent="0.2">
      <c r="A31" s="54" t="s">
        <v>16</v>
      </c>
      <c r="B31" s="55">
        <v>0.4</v>
      </c>
      <c r="C31" s="28"/>
      <c r="D31" s="63" t="s">
        <v>164</v>
      </c>
      <c r="E31" s="66">
        <f>B55</f>
        <v>0.23</v>
      </c>
      <c r="F31" s="65"/>
      <c r="G31"/>
      <c r="H31" s="221"/>
      <c r="I31"/>
      <c r="J31"/>
      <c r="K31" s="221"/>
      <c r="L31"/>
      <c r="M31" s="28" t="s">
        <v>3</v>
      </c>
      <c r="N31" s="32">
        <f>B25</f>
        <v>1</v>
      </c>
      <c r="O31" s="28"/>
      <c r="P31"/>
      <c r="Q31" s="221"/>
      <c r="R31"/>
      <c r="S31"/>
      <c r="T31" s="221"/>
      <c r="U31"/>
      <c r="V31" s="28" t="s">
        <v>3</v>
      </c>
      <c r="W31" s="32">
        <f>B25</f>
        <v>1</v>
      </c>
      <c r="X31" s="28"/>
      <c r="Y31"/>
      <c r="Z31" s="221"/>
      <c r="AA31"/>
      <c r="AB31"/>
      <c r="AC31" s="221"/>
      <c r="AD31"/>
      <c r="AE31" s="28" t="s">
        <v>3</v>
      </c>
      <c r="AF31" s="32">
        <f>B25</f>
        <v>1</v>
      </c>
      <c r="AG31" s="28"/>
      <c r="AH31"/>
      <c r="AI31" s="221"/>
      <c r="AJ31"/>
      <c r="AK31"/>
      <c r="AL31" s="221"/>
      <c r="AM31"/>
    </row>
    <row r="32" spans="1:39" s="1" customFormat="1" ht="14.25" x14ac:dyDescent="0.2">
      <c r="A32" s="54" t="s">
        <v>31</v>
      </c>
      <c r="B32" s="52">
        <v>666666666</v>
      </c>
      <c r="C32" s="54" t="s">
        <v>32</v>
      </c>
      <c r="D32" s="63" t="s">
        <v>147</v>
      </c>
      <c r="E32" s="66">
        <f>B52</f>
        <v>49</v>
      </c>
      <c r="F32" s="65" t="s">
        <v>24</v>
      </c>
      <c r="G32" s="28" t="s">
        <v>160</v>
      </c>
      <c r="H32" s="221">
        <f>B50</f>
        <v>1.752</v>
      </c>
      <c r="I32" t="s">
        <v>203</v>
      </c>
      <c r="J32" s="28" t="s">
        <v>160</v>
      </c>
      <c r="K32" s="221">
        <f>B50</f>
        <v>1.752</v>
      </c>
      <c r="L32" t="s">
        <v>203</v>
      </c>
      <c r="M32" s="28" t="s">
        <v>27</v>
      </c>
      <c r="N32" s="32">
        <f>B26</f>
        <v>1</v>
      </c>
      <c r="O32" s="28"/>
      <c r="P32" t="s">
        <v>89</v>
      </c>
      <c r="Q32" s="221">
        <f>B58</f>
        <v>8</v>
      </c>
      <c r="R32" t="s">
        <v>203</v>
      </c>
      <c r="S32" t="s">
        <v>89</v>
      </c>
      <c r="T32" s="221">
        <f>B58</f>
        <v>8</v>
      </c>
      <c r="U32" t="s">
        <v>203</v>
      </c>
      <c r="V32" s="28" t="s">
        <v>27</v>
      </c>
      <c r="W32" s="32">
        <f>B26</f>
        <v>1</v>
      </c>
      <c r="X32" s="28"/>
      <c r="Y32" t="s">
        <v>89</v>
      </c>
      <c r="Z32" s="221">
        <f>B67</f>
        <v>8</v>
      </c>
      <c r="AA32" t="s">
        <v>203</v>
      </c>
      <c r="AB32" t="s">
        <v>89</v>
      </c>
      <c r="AC32" s="221">
        <f>B67</f>
        <v>8</v>
      </c>
      <c r="AD32" t="s">
        <v>203</v>
      </c>
      <c r="AE32" s="28" t="s">
        <v>27</v>
      </c>
      <c r="AF32" s="32">
        <f>B26</f>
        <v>1</v>
      </c>
      <c r="AG32" s="28"/>
      <c r="AH32" t="s">
        <v>89</v>
      </c>
      <c r="AI32" s="221">
        <f>B76</f>
        <v>8</v>
      </c>
      <c r="AJ32" t="s">
        <v>203</v>
      </c>
      <c r="AK32" t="s">
        <v>89</v>
      </c>
      <c r="AL32" s="221">
        <f>B76</f>
        <v>8</v>
      </c>
      <c r="AM32" t="s">
        <v>203</v>
      </c>
    </row>
    <row r="33" spans="1:39" s="1" customFormat="1" ht="14.25" x14ac:dyDescent="0.2">
      <c r="A33" s="38" t="s">
        <v>65</v>
      </c>
      <c r="B33" s="42">
        <v>0</v>
      </c>
      <c r="C33"/>
      <c r="D33" s="63" t="s">
        <v>146</v>
      </c>
      <c r="E33" s="66">
        <f>B53</f>
        <v>16</v>
      </c>
      <c r="F33" s="65" t="s">
        <v>24</v>
      </c>
      <c r="G33" t="s">
        <v>3</v>
      </c>
      <c r="H33" s="221">
        <f>B25</f>
        <v>1</v>
      </c>
      <c r="I33"/>
      <c r="J33" t="s">
        <v>3</v>
      </c>
      <c r="K33" s="221">
        <f>B25</f>
        <v>1</v>
      </c>
      <c r="L33"/>
      <c r="M33" s="28" t="s">
        <v>29</v>
      </c>
      <c r="N33" s="32">
        <f>B29</f>
        <v>0.4</v>
      </c>
      <c r="O33" s="28"/>
      <c r="P33" t="s">
        <v>3</v>
      </c>
      <c r="Q33" s="221">
        <f>B25</f>
        <v>1</v>
      </c>
      <c r="R33"/>
      <c r="S33" t="s">
        <v>3</v>
      </c>
      <c r="T33" s="221">
        <f>B25</f>
        <v>1</v>
      </c>
      <c r="U33"/>
      <c r="V33" s="28" t="s">
        <v>29</v>
      </c>
      <c r="W33" s="32">
        <f>B29</f>
        <v>0.4</v>
      </c>
      <c r="X33" s="28"/>
      <c r="Y33" t="s">
        <v>3</v>
      </c>
      <c r="Z33" s="221">
        <f>B25</f>
        <v>1</v>
      </c>
      <c r="AA33"/>
      <c r="AB33" t="s">
        <v>3</v>
      </c>
      <c r="AC33" s="221">
        <f>B25</f>
        <v>1</v>
      </c>
      <c r="AD33"/>
      <c r="AE33" s="28" t="s">
        <v>29</v>
      </c>
      <c r="AF33" s="32">
        <f>B29</f>
        <v>0.4</v>
      </c>
      <c r="AG33" s="28"/>
      <c r="AH33" t="s">
        <v>3</v>
      </c>
      <c r="AI33" s="221">
        <f>B25</f>
        <v>1</v>
      </c>
      <c r="AJ33"/>
      <c r="AK33" t="s">
        <v>3</v>
      </c>
      <c r="AL33" s="221">
        <f>B25</f>
        <v>1</v>
      </c>
      <c r="AM33"/>
    </row>
    <row r="34" spans="1:39" s="1" customFormat="1" ht="15" x14ac:dyDescent="0.2">
      <c r="A34" s="415" t="s">
        <v>7</v>
      </c>
      <c r="B34" s="415"/>
      <c r="C34" s="415"/>
      <c r="D34" s="67" t="s">
        <v>151</v>
      </c>
      <c r="E34" s="66">
        <f>B48</f>
        <v>2</v>
      </c>
      <c r="F34" s="65" t="s">
        <v>204</v>
      </c>
      <c r="G34" s="29" t="s">
        <v>27</v>
      </c>
      <c r="H34" s="222">
        <f>B26</f>
        <v>1</v>
      </c>
      <c r="I34" s="29"/>
      <c r="J34" s="29" t="s">
        <v>27</v>
      </c>
      <c r="K34" s="222">
        <f>B26</f>
        <v>1</v>
      </c>
      <c r="L34" s="29"/>
      <c r="M34" s="54" t="s">
        <v>99</v>
      </c>
      <c r="N34" s="32">
        <f>B30</f>
        <v>1</v>
      </c>
      <c r="O34" s="28"/>
      <c r="P34" s="29" t="s">
        <v>27</v>
      </c>
      <c r="Q34" s="222">
        <f>B26</f>
        <v>1</v>
      </c>
      <c r="R34" s="29"/>
      <c r="S34" s="29" t="s">
        <v>27</v>
      </c>
      <c r="T34" s="222">
        <f>B26</f>
        <v>1</v>
      </c>
      <c r="U34" s="29"/>
      <c r="V34" s="54" t="s">
        <v>99</v>
      </c>
      <c r="W34" s="32">
        <f>B30</f>
        <v>1</v>
      </c>
      <c r="X34" s="28"/>
      <c r="Y34" s="29" t="s">
        <v>27</v>
      </c>
      <c r="Z34" s="222">
        <f>B26</f>
        <v>1</v>
      </c>
      <c r="AA34" s="29"/>
      <c r="AB34" s="29" t="s">
        <v>27</v>
      </c>
      <c r="AC34" s="222">
        <f>B26</f>
        <v>1</v>
      </c>
      <c r="AD34" s="29"/>
      <c r="AE34" s="54" t="s">
        <v>99</v>
      </c>
      <c r="AF34" s="32">
        <f>B30</f>
        <v>1</v>
      </c>
      <c r="AG34" s="28"/>
      <c r="AH34" s="29" t="s">
        <v>27</v>
      </c>
      <c r="AI34" s="222">
        <f>B26</f>
        <v>1</v>
      </c>
      <c r="AJ34" s="29"/>
      <c r="AK34" s="29" t="s">
        <v>27</v>
      </c>
      <c r="AL34" s="222">
        <f>B26</f>
        <v>1</v>
      </c>
      <c r="AM34" s="29"/>
    </row>
    <row r="35" spans="1:39" x14ac:dyDescent="0.2">
      <c r="A35" s="40" t="s">
        <v>155</v>
      </c>
      <c r="B35" s="166">
        <v>350</v>
      </c>
      <c r="C35" s="40" t="s">
        <v>202</v>
      </c>
      <c r="D35" s="67" t="s">
        <v>150</v>
      </c>
      <c r="E35" s="66">
        <f>B49</f>
        <v>10</v>
      </c>
      <c r="F35" s="65" t="s">
        <v>204</v>
      </c>
      <c r="G35" s="28" t="s">
        <v>139</v>
      </c>
      <c r="H35" s="221">
        <f>B24</f>
        <v>1</v>
      </c>
      <c r="J35" s="28" t="s">
        <v>139</v>
      </c>
      <c r="K35" s="221">
        <f>B24</f>
        <v>1</v>
      </c>
      <c r="M35" s="54" t="s">
        <v>16</v>
      </c>
      <c r="N35" s="32">
        <f>B31</f>
        <v>0.4</v>
      </c>
      <c r="P35" s="28" t="s">
        <v>139</v>
      </c>
      <c r="Q35" s="221">
        <f>B24</f>
        <v>1</v>
      </c>
      <c r="S35" s="28" t="s">
        <v>139</v>
      </c>
      <c r="T35" s="221">
        <f>B24</f>
        <v>1</v>
      </c>
      <c r="V35" s="54" t="s">
        <v>16</v>
      </c>
      <c r="W35" s="32">
        <f>B31</f>
        <v>0.4</v>
      </c>
      <c r="Y35" s="28" t="s">
        <v>139</v>
      </c>
      <c r="Z35" s="221">
        <f>B24</f>
        <v>1</v>
      </c>
      <c r="AB35" s="28" t="s">
        <v>139</v>
      </c>
      <c r="AC35" s="221">
        <f>B24</f>
        <v>1</v>
      </c>
      <c r="AE35" s="54" t="s">
        <v>16</v>
      </c>
      <c r="AF35" s="32">
        <f>B31</f>
        <v>0.4</v>
      </c>
      <c r="AH35" s="28" t="s">
        <v>139</v>
      </c>
      <c r="AI35" s="221">
        <f>B24</f>
        <v>1</v>
      </c>
      <c r="AK35" s="28" t="s">
        <v>139</v>
      </c>
      <c r="AL35" s="221">
        <f>B24</f>
        <v>1</v>
      </c>
    </row>
    <row r="36" spans="1:39" x14ac:dyDescent="0.2">
      <c r="A36" s="40" t="s">
        <v>156</v>
      </c>
      <c r="B36" s="166">
        <v>350</v>
      </c>
      <c r="C36" s="40" t="s">
        <v>202</v>
      </c>
      <c r="D36" s="63" t="s">
        <v>149</v>
      </c>
      <c r="E36" s="66">
        <f>B47</f>
        <v>20</v>
      </c>
      <c r="F36" s="65" t="s">
        <v>26</v>
      </c>
      <c r="G36" s="28" t="s">
        <v>161</v>
      </c>
      <c r="H36" s="221">
        <f>B51</f>
        <v>16.399999999999999</v>
      </c>
      <c r="J36" s="28" t="s">
        <v>161</v>
      </c>
      <c r="K36" s="221">
        <f>B51</f>
        <v>16.399999999999999</v>
      </c>
      <c r="M36" s="28" t="s">
        <v>30</v>
      </c>
      <c r="N36" s="32">
        <f>B18</f>
        <v>1</v>
      </c>
      <c r="Q36" s="221"/>
      <c r="T36" s="221"/>
      <c r="V36" s="28" t="s">
        <v>30</v>
      </c>
      <c r="W36" s="32">
        <f>B18</f>
        <v>1</v>
      </c>
      <c r="Z36" s="221"/>
      <c r="AC36" s="221"/>
      <c r="AE36" s="28" t="s">
        <v>30</v>
      </c>
      <c r="AF36" s="32">
        <f>B18</f>
        <v>1</v>
      </c>
      <c r="AI36" s="221"/>
      <c r="AL36" s="221"/>
    </row>
    <row r="37" spans="1:39" x14ac:dyDescent="0.2">
      <c r="A37" s="40" t="s">
        <v>157</v>
      </c>
      <c r="B37" s="166">
        <v>350</v>
      </c>
      <c r="C37" s="40" t="s">
        <v>202</v>
      </c>
      <c r="D37" s="68" t="s">
        <v>148</v>
      </c>
      <c r="E37" s="69">
        <f>B46</f>
        <v>10</v>
      </c>
      <c r="F37" s="70" t="s">
        <v>26</v>
      </c>
      <c r="G37" t="s">
        <v>90</v>
      </c>
      <c r="H37" s="221">
        <f>B23</f>
        <v>1.169</v>
      </c>
      <c r="J37" s="38" t="s">
        <v>141</v>
      </c>
      <c r="K37" s="221">
        <f>B17</f>
        <v>1</v>
      </c>
      <c r="M37" s="54" t="s">
        <v>31</v>
      </c>
      <c r="N37" s="53">
        <f>B32</f>
        <v>666666666</v>
      </c>
      <c r="O37" s="54" t="s">
        <v>32</v>
      </c>
      <c r="P37" s="30" t="s">
        <v>5</v>
      </c>
      <c r="Q37" s="221">
        <f>B23</f>
        <v>1.169</v>
      </c>
      <c r="R37" t="s">
        <v>91</v>
      </c>
      <c r="S37" s="38" t="s">
        <v>141</v>
      </c>
      <c r="T37" s="221">
        <f>B17</f>
        <v>1</v>
      </c>
      <c r="V37" s="54" t="s">
        <v>31</v>
      </c>
      <c r="W37" s="53">
        <f>B32</f>
        <v>666666666</v>
      </c>
      <c r="X37" s="54" t="s">
        <v>32</v>
      </c>
      <c r="Y37" s="30" t="s">
        <v>5</v>
      </c>
      <c r="Z37" s="221">
        <f>B23</f>
        <v>1.169</v>
      </c>
      <c r="AA37" t="s">
        <v>91</v>
      </c>
      <c r="AB37" s="38" t="s">
        <v>141</v>
      </c>
      <c r="AC37" s="221">
        <f>B17</f>
        <v>1</v>
      </c>
      <c r="AE37" s="54" t="s">
        <v>31</v>
      </c>
      <c r="AF37" s="53">
        <f>B32</f>
        <v>666666666</v>
      </c>
      <c r="AG37" s="54" t="s">
        <v>32</v>
      </c>
      <c r="AH37" s="30" t="s">
        <v>5</v>
      </c>
      <c r="AI37" s="221">
        <f>B23</f>
        <v>1.169</v>
      </c>
      <c r="AJ37" t="s">
        <v>91</v>
      </c>
      <c r="AK37" s="38" t="s">
        <v>141</v>
      </c>
      <c r="AL37" s="221">
        <f>B17</f>
        <v>1</v>
      </c>
    </row>
    <row r="38" spans="1:39" x14ac:dyDescent="0.2">
      <c r="A38" s="40" t="s">
        <v>154</v>
      </c>
      <c r="B38" s="42">
        <v>24</v>
      </c>
      <c r="C38" s="40" t="s">
        <v>203</v>
      </c>
      <c r="D38" s="28" t="s">
        <v>125</v>
      </c>
      <c r="E38" s="32">
        <f>B43</f>
        <v>1</v>
      </c>
      <c r="F38" s="28" t="s">
        <v>205</v>
      </c>
      <c r="H38" s="221"/>
      <c r="J38" s="38" t="s">
        <v>142</v>
      </c>
      <c r="K38" s="221">
        <f>B18</f>
        <v>1</v>
      </c>
      <c r="M38" s="44" t="s">
        <v>98</v>
      </c>
      <c r="N38" s="43">
        <f>PEF!G2</f>
        <v>9520180.8385802973</v>
      </c>
      <c r="O38" s="28" t="s">
        <v>34</v>
      </c>
      <c r="Q38" s="221"/>
      <c r="S38" s="38" t="s">
        <v>142</v>
      </c>
      <c r="T38" s="221">
        <f>B18</f>
        <v>1</v>
      </c>
      <c r="V38" s="44" t="s">
        <v>98</v>
      </c>
      <c r="W38" s="43">
        <f>PEF!G2</f>
        <v>9520180.8385802973</v>
      </c>
      <c r="X38" s="28" t="s">
        <v>34</v>
      </c>
      <c r="AB38" s="38" t="s">
        <v>142</v>
      </c>
      <c r="AC38" s="221">
        <f>B18</f>
        <v>1</v>
      </c>
      <c r="AE38" s="44" t="s">
        <v>98</v>
      </c>
      <c r="AF38" s="43">
        <f>PEF!G2</f>
        <v>9520180.8385802973</v>
      </c>
      <c r="AG38" s="28" t="s">
        <v>34</v>
      </c>
      <c r="AI38" s="221"/>
      <c r="AK38" s="38" t="s">
        <v>142</v>
      </c>
      <c r="AL38" s="221">
        <f>B18</f>
        <v>1</v>
      </c>
    </row>
    <row r="39" spans="1:39" x14ac:dyDescent="0.2">
      <c r="A39" s="40" t="s">
        <v>158</v>
      </c>
      <c r="B39" s="42">
        <v>4</v>
      </c>
      <c r="C39" s="40" t="s">
        <v>203</v>
      </c>
      <c r="D39" s="28" t="s">
        <v>3</v>
      </c>
      <c r="E39" s="32">
        <f>B25</f>
        <v>1</v>
      </c>
      <c r="H39" s="221"/>
      <c r="J39" s="38" t="s">
        <v>143</v>
      </c>
      <c r="K39" s="221">
        <f>B19</f>
        <v>1</v>
      </c>
      <c r="M39" s="28" t="s">
        <v>33</v>
      </c>
      <c r="N39" s="43">
        <f>PEF!C2</f>
        <v>1365593623.3683286</v>
      </c>
      <c r="O39" s="28" t="s">
        <v>34</v>
      </c>
      <c r="Q39" s="221"/>
      <c r="S39" s="38" t="s">
        <v>143</v>
      </c>
      <c r="T39" s="221">
        <f>B19</f>
        <v>1</v>
      </c>
      <c r="V39" s="28" t="s">
        <v>33</v>
      </c>
      <c r="W39" s="43">
        <f>PEF!C2</f>
        <v>1365593623.3683286</v>
      </c>
      <c r="X39" s="28" t="s">
        <v>34</v>
      </c>
      <c r="AB39" s="38" t="s">
        <v>143</v>
      </c>
      <c r="AC39" s="221">
        <f>B19</f>
        <v>1</v>
      </c>
      <c r="AE39" s="28" t="s">
        <v>33</v>
      </c>
      <c r="AF39" s="43">
        <f>PEF!C2</f>
        <v>1365593623.3683286</v>
      </c>
      <c r="AG39" s="28" t="s">
        <v>34</v>
      </c>
      <c r="AI39" s="221"/>
      <c r="AK39" s="38" t="s">
        <v>143</v>
      </c>
      <c r="AL39" s="221">
        <f>B19</f>
        <v>1</v>
      </c>
    </row>
    <row r="40" spans="1:39" x14ac:dyDescent="0.2">
      <c r="A40" s="40" t="s">
        <v>159</v>
      </c>
      <c r="B40" s="42">
        <v>4</v>
      </c>
      <c r="C40" s="40" t="s">
        <v>203</v>
      </c>
      <c r="D40" s="28" t="s">
        <v>27</v>
      </c>
      <c r="E40" s="32">
        <f>B26</f>
        <v>1</v>
      </c>
      <c r="H40" s="221"/>
      <c r="J40" s="38" t="s">
        <v>144</v>
      </c>
      <c r="K40" s="221">
        <f>B20</f>
        <v>1</v>
      </c>
      <c r="M40" s="28" t="s">
        <v>102</v>
      </c>
      <c r="N40" s="32">
        <f>B22</f>
        <v>222.01757699999999</v>
      </c>
      <c r="O40" s="28" t="s">
        <v>103</v>
      </c>
      <c r="Q40" s="221"/>
      <c r="S40" s="38" t="s">
        <v>144</v>
      </c>
      <c r="T40" s="221">
        <f>B20</f>
        <v>1</v>
      </c>
      <c r="V40" s="28" t="s">
        <v>102</v>
      </c>
      <c r="W40" s="32">
        <f>B22</f>
        <v>222.01757699999999</v>
      </c>
      <c r="X40" s="28" t="s">
        <v>103</v>
      </c>
      <c r="AB40" s="38" t="s">
        <v>144</v>
      </c>
      <c r="AC40" s="221">
        <f>B20</f>
        <v>1</v>
      </c>
      <c r="AE40" s="28" t="s">
        <v>102</v>
      </c>
      <c r="AF40" s="32">
        <f>B22</f>
        <v>222.01757699999999</v>
      </c>
      <c r="AG40" s="28" t="s">
        <v>103</v>
      </c>
      <c r="AI40" s="221"/>
      <c r="AK40" s="38" t="s">
        <v>144</v>
      </c>
      <c r="AL40" s="221">
        <f>B20</f>
        <v>1</v>
      </c>
    </row>
    <row r="41" spans="1:39" x14ac:dyDescent="0.2">
      <c r="A41" s="40" t="s">
        <v>152</v>
      </c>
      <c r="B41" s="42">
        <v>24</v>
      </c>
      <c r="C41" s="40" t="s">
        <v>203</v>
      </c>
      <c r="D41" s="28" t="s">
        <v>160</v>
      </c>
      <c r="E41" s="32">
        <f>B50</f>
        <v>1.752</v>
      </c>
      <c r="F41" s="28" t="s">
        <v>203</v>
      </c>
      <c r="H41" s="221"/>
      <c r="J41" s="38" t="s">
        <v>145</v>
      </c>
      <c r="K41" s="221">
        <f>B21</f>
        <v>1</v>
      </c>
      <c r="M41" s="28" t="s">
        <v>100</v>
      </c>
      <c r="N41" s="207">
        <v>27.027027027027</v>
      </c>
      <c r="O41" s="28" t="s">
        <v>101</v>
      </c>
      <c r="Q41" s="221"/>
      <c r="S41" s="38" t="s">
        <v>145</v>
      </c>
      <c r="T41" s="221">
        <f>B21</f>
        <v>1</v>
      </c>
      <c r="V41" s="28" t="s">
        <v>100</v>
      </c>
      <c r="W41" s="207">
        <v>27.027027027027</v>
      </c>
      <c r="X41" s="28" t="s">
        <v>101</v>
      </c>
      <c r="AB41" s="38" t="s">
        <v>145</v>
      </c>
      <c r="AC41" s="221">
        <f>B21</f>
        <v>1</v>
      </c>
      <c r="AE41" s="28" t="s">
        <v>100</v>
      </c>
      <c r="AF41" s="207">
        <v>27.027027027027</v>
      </c>
      <c r="AG41" s="28" t="s">
        <v>101</v>
      </c>
      <c r="AI41" s="221"/>
      <c r="AK41" s="38" t="s">
        <v>145</v>
      </c>
      <c r="AL41" s="221">
        <f>B21</f>
        <v>1</v>
      </c>
    </row>
    <row r="42" spans="1:39" x14ac:dyDescent="0.2">
      <c r="A42" s="40" t="s">
        <v>153</v>
      </c>
      <c r="B42" s="42">
        <v>24</v>
      </c>
      <c r="C42" s="40" t="s">
        <v>203</v>
      </c>
      <c r="D42" s="28" t="s">
        <v>161</v>
      </c>
      <c r="E42" s="32">
        <f>B51</f>
        <v>16.399999999999999</v>
      </c>
      <c r="F42" s="28" t="s">
        <v>203</v>
      </c>
      <c r="G42" s="28" t="s">
        <v>100</v>
      </c>
      <c r="H42" s="207">
        <v>27.027027027027</v>
      </c>
      <c r="I42" s="28" t="s">
        <v>101</v>
      </c>
      <c r="J42" s="28" t="s">
        <v>100</v>
      </c>
      <c r="K42" s="207">
        <v>27.027027027027</v>
      </c>
      <c r="L42" s="28" t="s">
        <v>101</v>
      </c>
      <c r="M42" s="28" t="s">
        <v>104</v>
      </c>
      <c r="N42" s="32">
        <f>2.8*(10^(-15))</f>
        <v>2.8000000000000001E-15</v>
      </c>
      <c r="P42" s="28" t="s">
        <v>100</v>
      </c>
      <c r="Q42" s="207">
        <v>27.027027027027</v>
      </c>
      <c r="R42" s="28" t="s">
        <v>101</v>
      </c>
      <c r="S42" s="28" t="s">
        <v>100</v>
      </c>
      <c r="T42" s="207">
        <v>27.027027027027</v>
      </c>
      <c r="U42" s="28" t="s">
        <v>101</v>
      </c>
      <c r="V42" s="28" t="s">
        <v>104</v>
      </c>
      <c r="W42" s="32">
        <f>2.8*(10^(-15))</f>
        <v>2.8000000000000001E-15</v>
      </c>
      <c r="Y42" s="28" t="s">
        <v>100</v>
      </c>
      <c r="Z42" s="207">
        <v>27.027027027027</v>
      </c>
      <c r="AA42" s="28" t="s">
        <v>101</v>
      </c>
      <c r="AB42" s="28" t="s">
        <v>100</v>
      </c>
      <c r="AC42" s="207">
        <v>27.027027027027</v>
      </c>
      <c r="AD42" s="28" t="s">
        <v>101</v>
      </c>
      <c r="AE42" s="28" t="s">
        <v>104</v>
      </c>
      <c r="AF42" s="32">
        <f>2.8*(10^(-15))</f>
        <v>2.8000000000000001E-15</v>
      </c>
      <c r="AH42" s="28" t="s">
        <v>100</v>
      </c>
      <c r="AI42" s="207">
        <v>27.027027027027</v>
      </c>
      <c r="AJ42" s="28" t="s">
        <v>101</v>
      </c>
      <c r="AK42" s="28" t="s">
        <v>100</v>
      </c>
      <c r="AL42" s="207">
        <v>27.027027027027</v>
      </c>
      <c r="AM42" s="28" t="s">
        <v>101</v>
      </c>
    </row>
    <row r="43" spans="1:39" x14ac:dyDescent="0.2">
      <c r="A43" s="40" t="s">
        <v>125</v>
      </c>
      <c r="B43" s="42">
        <v>1</v>
      </c>
      <c r="C43" s="40" t="s">
        <v>10</v>
      </c>
      <c r="D43" s="28" t="s">
        <v>29</v>
      </c>
      <c r="E43" s="32">
        <f>B29</f>
        <v>0.4</v>
      </c>
      <c r="G43" s="28" t="s">
        <v>102</v>
      </c>
      <c r="H43" s="32">
        <f>B22</f>
        <v>222.01757699999999</v>
      </c>
      <c r="I43" s="28" t="s">
        <v>103</v>
      </c>
      <c r="J43" s="28" t="s">
        <v>102</v>
      </c>
      <c r="K43" s="32">
        <f>B22</f>
        <v>222.01757699999999</v>
      </c>
      <c r="L43" s="28" t="s">
        <v>103</v>
      </c>
      <c r="P43" s="28" t="s">
        <v>102</v>
      </c>
      <c r="Q43" s="32">
        <f>B22</f>
        <v>222.01757699999999</v>
      </c>
      <c r="R43" s="28" t="s">
        <v>103</v>
      </c>
      <c r="S43" s="28" t="s">
        <v>102</v>
      </c>
      <c r="T43" s="32">
        <f>B22</f>
        <v>222.01757699999999</v>
      </c>
      <c r="U43" s="28" t="s">
        <v>103</v>
      </c>
      <c r="Y43" s="28" t="s">
        <v>102</v>
      </c>
      <c r="Z43" s="32">
        <f>B22</f>
        <v>222.01757699999999</v>
      </c>
      <c r="AA43" s="28" t="s">
        <v>103</v>
      </c>
      <c r="AB43" s="28" t="s">
        <v>102</v>
      </c>
      <c r="AC43" s="32">
        <f>B22</f>
        <v>222.01757699999999</v>
      </c>
      <c r="AD43" s="28" t="s">
        <v>103</v>
      </c>
      <c r="AH43" s="28" t="s">
        <v>102</v>
      </c>
      <c r="AI43" s="32">
        <f>B22</f>
        <v>222.01757699999999</v>
      </c>
      <c r="AJ43" s="28" t="s">
        <v>103</v>
      </c>
      <c r="AK43" s="28" t="s">
        <v>102</v>
      </c>
      <c r="AL43" s="32">
        <f>B22</f>
        <v>222.01757699999999</v>
      </c>
      <c r="AM43" s="28" t="s">
        <v>103</v>
      </c>
    </row>
    <row r="44" spans="1:39" x14ac:dyDescent="0.2">
      <c r="A44" s="40" t="s">
        <v>146</v>
      </c>
      <c r="B44" s="42">
        <v>16</v>
      </c>
      <c r="C44" s="40" t="s">
        <v>120</v>
      </c>
      <c r="D44" s="54" t="s">
        <v>99</v>
      </c>
      <c r="E44" s="32">
        <f>B30</f>
        <v>1</v>
      </c>
      <c r="G44" s="28" t="s">
        <v>104</v>
      </c>
      <c r="H44" s="32">
        <f>2.8*(10^(-12))</f>
        <v>2.7999999999999998E-12</v>
      </c>
      <c r="I44" s="28"/>
      <c r="J44" s="28" t="s">
        <v>104</v>
      </c>
      <c r="K44" s="32">
        <f>2.8*(10^(-12))</f>
        <v>2.7999999999999998E-12</v>
      </c>
      <c r="L44" s="28"/>
      <c r="P44" s="28" t="s">
        <v>104</v>
      </c>
      <c r="Q44" s="32">
        <f>2.8*(10^(-12))</f>
        <v>2.7999999999999998E-12</v>
      </c>
      <c r="R44" s="28"/>
      <c r="S44" s="28" t="s">
        <v>104</v>
      </c>
      <c r="T44" s="32">
        <f>2.8*(10^(-12))</f>
        <v>2.7999999999999998E-12</v>
      </c>
      <c r="U44" s="28"/>
      <c r="Y44" s="28" t="s">
        <v>104</v>
      </c>
      <c r="Z44" s="32">
        <f>2.8*(10^(-12))</f>
        <v>2.7999999999999998E-12</v>
      </c>
      <c r="AA44" s="28"/>
      <c r="AB44" s="28" t="s">
        <v>104</v>
      </c>
      <c r="AC44" s="32">
        <f>2.8*(10^(-12))</f>
        <v>2.7999999999999998E-12</v>
      </c>
      <c r="AD44" s="28"/>
      <c r="AH44" s="28" t="s">
        <v>104</v>
      </c>
      <c r="AI44" s="32">
        <f>2.8*(10^(-12))</f>
        <v>2.7999999999999998E-12</v>
      </c>
      <c r="AJ44" s="28"/>
      <c r="AK44" s="28" t="s">
        <v>104</v>
      </c>
      <c r="AL44" s="32">
        <f>2.8*(10^(-12))</f>
        <v>2.7999999999999998E-12</v>
      </c>
      <c r="AM44" s="28"/>
    </row>
    <row r="45" spans="1:39" x14ac:dyDescent="0.2">
      <c r="A45" s="40" t="s">
        <v>147</v>
      </c>
      <c r="B45" s="42">
        <v>49</v>
      </c>
      <c r="C45" s="40" t="s">
        <v>120</v>
      </c>
      <c r="D45" s="54" t="s">
        <v>16</v>
      </c>
      <c r="E45" s="32">
        <f>B31</f>
        <v>0.4</v>
      </c>
      <c r="G45" s="28" t="s">
        <v>104</v>
      </c>
      <c r="H45" s="32">
        <f>2.8*(10^(-15))</f>
        <v>2.8000000000000001E-15</v>
      </c>
      <c r="J45" s="28" t="s">
        <v>104</v>
      </c>
      <c r="K45" s="32">
        <f>2.8*(10^(-15))</f>
        <v>2.8000000000000001E-15</v>
      </c>
      <c r="P45" s="28" t="s">
        <v>104</v>
      </c>
      <c r="Q45" s="32">
        <f>2.8*(10^(-15))</f>
        <v>2.8000000000000001E-15</v>
      </c>
      <c r="S45" s="28" t="s">
        <v>104</v>
      </c>
      <c r="T45" s="32">
        <f>2.8*(10^(-15))</f>
        <v>2.8000000000000001E-15</v>
      </c>
      <c r="Y45" s="28" t="s">
        <v>104</v>
      </c>
      <c r="Z45" s="32">
        <f>2.8*(10^(-15))</f>
        <v>2.8000000000000001E-15</v>
      </c>
      <c r="AB45" s="28" t="s">
        <v>104</v>
      </c>
      <c r="AC45" s="32">
        <f>2.8*(10^(-15))</f>
        <v>2.8000000000000001E-15</v>
      </c>
      <c r="AH45" s="28" t="s">
        <v>104</v>
      </c>
      <c r="AI45" s="32">
        <f>2.8*(10^(-15))</f>
        <v>2.8000000000000001E-15</v>
      </c>
      <c r="AK45" s="28" t="s">
        <v>104</v>
      </c>
      <c r="AL45" s="32">
        <f>2.8*(10^(-15))</f>
        <v>2.8000000000000001E-15</v>
      </c>
    </row>
    <row r="46" spans="1:39" x14ac:dyDescent="0.2">
      <c r="A46" s="40" t="s">
        <v>148</v>
      </c>
      <c r="B46" s="42">
        <v>10</v>
      </c>
      <c r="C46" s="40" t="s">
        <v>121</v>
      </c>
      <c r="D46" s="28" t="s">
        <v>30</v>
      </c>
      <c r="E46" s="32">
        <f>B18</f>
        <v>1</v>
      </c>
      <c r="Z46" s="221"/>
      <c r="AC46" s="221"/>
    </row>
    <row r="47" spans="1:39" x14ac:dyDescent="0.2">
      <c r="A47" s="40" t="s">
        <v>149</v>
      </c>
      <c r="B47" s="42">
        <v>20</v>
      </c>
      <c r="C47" s="40" t="s">
        <v>121</v>
      </c>
      <c r="D47" s="54" t="s">
        <v>31</v>
      </c>
      <c r="E47" s="53">
        <f>B32</f>
        <v>666666666</v>
      </c>
      <c r="F47" s="54" t="s">
        <v>32</v>
      </c>
      <c r="G47" s="343">
        <f>E6/(0.0000000662)</f>
        <v>1.5866346562500133E-7</v>
      </c>
      <c r="H47" s="343"/>
      <c r="I47" s="343"/>
    </row>
    <row r="48" spans="1:39" x14ac:dyDescent="0.2">
      <c r="A48" s="40" t="s">
        <v>151</v>
      </c>
      <c r="B48" s="55">
        <v>2</v>
      </c>
      <c r="C48" s="28" t="s">
        <v>204</v>
      </c>
      <c r="D48" s="44" t="s">
        <v>98</v>
      </c>
      <c r="E48" s="43">
        <f>PEF!E2</f>
        <v>9520180.8385802973</v>
      </c>
      <c r="F48" s="28" t="s">
        <v>34</v>
      </c>
      <c r="G48" s="343"/>
      <c r="H48" s="343"/>
      <c r="I48" s="343"/>
    </row>
    <row r="49" spans="1:9" x14ac:dyDescent="0.2">
      <c r="A49" s="40" t="s">
        <v>150</v>
      </c>
      <c r="B49" s="55">
        <v>10</v>
      </c>
      <c r="C49" s="28" t="s">
        <v>204</v>
      </c>
      <c r="D49" s="28" t="s">
        <v>33</v>
      </c>
      <c r="E49" s="43">
        <f>PEF!C2</f>
        <v>1365593623.3683286</v>
      </c>
      <c r="F49" s="28" t="s">
        <v>34</v>
      </c>
      <c r="G49" s="343"/>
      <c r="H49" s="343"/>
      <c r="I49" s="343"/>
    </row>
    <row r="50" spans="1:9" x14ac:dyDescent="0.2">
      <c r="A50" s="28" t="s">
        <v>160</v>
      </c>
      <c r="B50" s="55">
        <v>1.752</v>
      </c>
      <c r="C50" s="28" t="s">
        <v>203</v>
      </c>
      <c r="D50" s="28" t="s">
        <v>102</v>
      </c>
      <c r="E50" s="32">
        <f>B22</f>
        <v>222.01757699999999</v>
      </c>
      <c r="F50" s="28" t="s">
        <v>103</v>
      </c>
      <c r="G50" s="343">
        <f>E17*0.037</f>
        <v>1843.1341448188455</v>
      </c>
      <c r="H50" s="343"/>
      <c r="I50" s="343"/>
    </row>
    <row r="51" spans="1:9" x14ac:dyDescent="0.2">
      <c r="A51" s="28" t="s">
        <v>161</v>
      </c>
      <c r="B51" s="55">
        <v>16.399999999999999</v>
      </c>
      <c r="C51" s="28" t="s">
        <v>203</v>
      </c>
      <c r="D51" s="28" t="s">
        <v>100</v>
      </c>
      <c r="E51" s="207">
        <v>27.027027027027</v>
      </c>
      <c r="F51" s="28" t="s">
        <v>101</v>
      </c>
      <c r="G51" s="343">
        <f>E18*0.037</f>
        <v>5.9681347448455331E-2</v>
      </c>
    </row>
    <row r="52" spans="1:9" x14ac:dyDescent="0.2">
      <c r="A52" s="28" t="s">
        <v>147</v>
      </c>
      <c r="B52" s="55">
        <v>49</v>
      </c>
      <c r="C52" s="28" t="s">
        <v>24</v>
      </c>
      <c r="D52" s="28" t="s">
        <v>104</v>
      </c>
      <c r="E52" s="32">
        <f>2.8*(10^(-15))</f>
        <v>2.8000000000000001E-15</v>
      </c>
      <c r="G52" s="343">
        <f>E19*0.037</f>
        <v>8.5608108597435084</v>
      </c>
    </row>
    <row r="53" spans="1:9" x14ac:dyDescent="0.2">
      <c r="A53" s="28" t="s">
        <v>146</v>
      </c>
      <c r="B53" s="55">
        <v>16</v>
      </c>
      <c r="C53" s="28" t="s">
        <v>24</v>
      </c>
      <c r="G53" s="343">
        <f>E20*0.037</f>
        <v>16948.83311273278</v>
      </c>
    </row>
    <row r="54" spans="1:9" x14ac:dyDescent="0.2">
      <c r="A54" s="28" t="s">
        <v>163</v>
      </c>
      <c r="B54" s="55">
        <v>0.77</v>
      </c>
      <c r="C54" s="28"/>
      <c r="F54" s="31" t="s">
        <v>95</v>
      </c>
    </row>
    <row r="55" spans="1:9" x14ac:dyDescent="0.2">
      <c r="A55" s="28" t="s">
        <v>164</v>
      </c>
      <c r="B55" s="55">
        <v>0.23</v>
      </c>
      <c r="C55" s="28"/>
      <c r="F55" s="31" t="s">
        <v>96</v>
      </c>
    </row>
    <row r="56" spans="1:9" ht="15" x14ac:dyDescent="0.2">
      <c r="A56" s="410" t="s">
        <v>180</v>
      </c>
      <c r="B56" s="410"/>
      <c r="C56" s="410"/>
      <c r="F56" s="31" t="s">
        <v>97</v>
      </c>
    </row>
    <row r="57" spans="1:9" x14ac:dyDescent="0.2">
      <c r="A57" s="40" t="s">
        <v>133</v>
      </c>
      <c r="B57" s="166">
        <v>250</v>
      </c>
      <c r="C57" s="40" t="s">
        <v>202</v>
      </c>
    </row>
    <row r="58" spans="1:9" x14ac:dyDescent="0.2">
      <c r="A58" s="40" t="s">
        <v>122</v>
      </c>
      <c r="B58" s="42">
        <v>8</v>
      </c>
      <c r="C58" s="40" t="s">
        <v>203</v>
      </c>
    </row>
    <row r="59" spans="1:9" x14ac:dyDescent="0.2">
      <c r="A59" s="40" t="s">
        <v>185</v>
      </c>
      <c r="B59" s="42">
        <v>4</v>
      </c>
      <c r="C59" s="40" t="s">
        <v>203</v>
      </c>
    </row>
    <row r="60" spans="1:9" x14ac:dyDescent="0.2">
      <c r="A60" s="40" t="s">
        <v>186</v>
      </c>
      <c r="B60" s="42">
        <v>4</v>
      </c>
      <c r="C60" s="40" t="s">
        <v>203</v>
      </c>
    </row>
    <row r="61" spans="1:9" x14ac:dyDescent="0.2">
      <c r="A61" s="40" t="s">
        <v>135</v>
      </c>
      <c r="B61" s="42">
        <v>1</v>
      </c>
      <c r="C61" s="40" t="s">
        <v>10</v>
      </c>
    </row>
    <row r="62" spans="1:9" x14ac:dyDescent="0.2">
      <c r="A62" s="40" t="s">
        <v>136</v>
      </c>
      <c r="B62" s="42">
        <v>49</v>
      </c>
      <c r="C62" s="40" t="s">
        <v>120</v>
      </c>
    </row>
    <row r="63" spans="1:9" x14ac:dyDescent="0.2">
      <c r="A63" s="40" t="s">
        <v>134</v>
      </c>
      <c r="B63" s="42">
        <v>2.5</v>
      </c>
      <c r="C63" s="40" t="s">
        <v>121</v>
      </c>
    </row>
    <row r="64" spans="1:9" x14ac:dyDescent="0.2">
      <c r="A64" s="40" t="s">
        <v>137</v>
      </c>
      <c r="B64" s="42">
        <v>2</v>
      </c>
      <c r="C64" s="40" t="s">
        <v>204</v>
      </c>
    </row>
    <row r="65" spans="1:3" ht="15" x14ac:dyDescent="0.2">
      <c r="A65" s="409" t="s">
        <v>181</v>
      </c>
      <c r="B65" s="409"/>
      <c r="C65" s="409"/>
    </row>
    <row r="66" spans="1:3" x14ac:dyDescent="0.2">
      <c r="A66" s="40" t="s">
        <v>128</v>
      </c>
      <c r="B66" s="166">
        <v>225</v>
      </c>
      <c r="C66" s="40" t="s">
        <v>202</v>
      </c>
    </row>
    <row r="67" spans="1:3" x14ac:dyDescent="0.2">
      <c r="A67" s="40" t="s">
        <v>122</v>
      </c>
      <c r="B67" s="42">
        <v>8</v>
      </c>
      <c r="C67" s="40" t="s">
        <v>203</v>
      </c>
    </row>
    <row r="68" spans="1:3" x14ac:dyDescent="0.2">
      <c r="A68" s="40" t="s">
        <v>183</v>
      </c>
      <c r="B68" s="42">
        <v>4</v>
      </c>
      <c r="C68" s="40" t="s">
        <v>203</v>
      </c>
    </row>
    <row r="69" spans="1:3" x14ac:dyDescent="0.2">
      <c r="A69" s="40" t="s">
        <v>184</v>
      </c>
      <c r="B69" s="42">
        <v>4</v>
      </c>
      <c r="C69" s="40" t="s">
        <v>203</v>
      </c>
    </row>
    <row r="70" spans="1:3" x14ac:dyDescent="0.2">
      <c r="A70" s="40" t="s">
        <v>129</v>
      </c>
      <c r="B70" s="42">
        <v>1</v>
      </c>
      <c r="C70" s="40" t="s">
        <v>10</v>
      </c>
    </row>
    <row r="71" spans="1:3" x14ac:dyDescent="0.2">
      <c r="A71" s="40" t="s">
        <v>130</v>
      </c>
      <c r="B71" s="42">
        <v>49</v>
      </c>
      <c r="C71" s="40" t="s">
        <v>120</v>
      </c>
    </row>
    <row r="72" spans="1:3" x14ac:dyDescent="0.2">
      <c r="A72" s="40" t="s">
        <v>127</v>
      </c>
      <c r="B72" s="42">
        <v>2.5</v>
      </c>
      <c r="C72" s="40" t="s">
        <v>121</v>
      </c>
    </row>
    <row r="73" spans="1:3" x14ac:dyDescent="0.2">
      <c r="A73" s="40" t="s">
        <v>131</v>
      </c>
      <c r="B73" s="42">
        <v>2</v>
      </c>
      <c r="C73" s="40" t="s">
        <v>204</v>
      </c>
    </row>
    <row r="74" spans="1:3" ht="15" x14ac:dyDescent="0.2">
      <c r="A74" s="408" t="s">
        <v>182</v>
      </c>
      <c r="B74" s="408"/>
      <c r="C74" s="408"/>
    </row>
    <row r="75" spans="1:3" x14ac:dyDescent="0.2">
      <c r="A75" s="40" t="s">
        <v>13</v>
      </c>
      <c r="B75" s="166">
        <v>250</v>
      </c>
      <c r="C75" s="40" t="s">
        <v>202</v>
      </c>
    </row>
    <row r="76" spans="1:3" x14ac:dyDescent="0.2">
      <c r="A76" s="40" t="s">
        <v>122</v>
      </c>
      <c r="B76" s="42">
        <v>8</v>
      </c>
      <c r="C76" s="40" t="s">
        <v>203</v>
      </c>
    </row>
    <row r="77" spans="1:3" x14ac:dyDescent="0.2">
      <c r="A77" s="40" t="s">
        <v>123</v>
      </c>
      <c r="B77" s="42">
        <v>4</v>
      </c>
      <c r="C77" s="40" t="s">
        <v>203</v>
      </c>
    </row>
    <row r="78" spans="1:3" x14ac:dyDescent="0.2">
      <c r="A78" s="40" t="s">
        <v>124</v>
      </c>
      <c r="B78" s="42">
        <v>4</v>
      </c>
      <c r="C78" s="40" t="s">
        <v>203</v>
      </c>
    </row>
    <row r="79" spans="1:3" x14ac:dyDescent="0.2">
      <c r="A79" s="40" t="s">
        <v>15</v>
      </c>
      <c r="B79" s="42">
        <v>1</v>
      </c>
      <c r="C79" s="40" t="s">
        <v>10</v>
      </c>
    </row>
    <row r="80" spans="1:3" x14ac:dyDescent="0.2">
      <c r="A80" s="40" t="s">
        <v>17</v>
      </c>
      <c r="B80" s="42">
        <v>49</v>
      </c>
      <c r="C80" s="40" t="s">
        <v>120</v>
      </c>
    </row>
    <row r="81" spans="1:3" x14ac:dyDescent="0.2">
      <c r="A81" s="40" t="s">
        <v>12</v>
      </c>
      <c r="B81" s="42">
        <v>2.5</v>
      </c>
      <c r="C81" s="40" t="s">
        <v>121</v>
      </c>
    </row>
    <row r="82" spans="1:3" x14ac:dyDescent="0.2">
      <c r="A82" s="40" t="s">
        <v>18</v>
      </c>
      <c r="B82" s="42">
        <v>3</v>
      </c>
      <c r="C82" s="40" t="s">
        <v>204</v>
      </c>
    </row>
    <row r="105" spans="1:1" x14ac:dyDescent="0.2">
      <c r="A105" s="28"/>
    </row>
    <row r="106" spans="1:1" x14ac:dyDescent="0.2">
      <c r="A106" s="28"/>
    </row>
  </sheetData>
  <mergeCells count="18">
    <mergeCell ref="J1:L1"/>
    <mergeCell ref="M1:O1"/>
    <mergeCell ref="A34:C34"/>
    <mergeCell ref="A56:C56"/>
    <mergeCell ref="A65:C65"/>
    <mergeCell ref="A74:C74"/>
    <mergeCell ref="D1:F1"/>
    <mergeCell ref="G1:I1"/>
    <mergeCell ref="A1:C1"/>
    <mergeCell ref="A2:C5"/>
    <mergeCell ref="AK1:AM1"/>
    <mergeCell ref="P1:R1"/>
    <mergeCell ref="S1:U1"/>
    <mergeCell ref="V1:X1"/>
    <mergeCell ref="Y1:AA1"/>
    <mergeCell ref="AB1:AD1"/>
    <mergeCell ref="AE1:AG1"/>
    <mergeCell ref="AH1:AJ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Instructions</vt:lpstr>
      <vt:lpstr>State_Am-241</vt:lpstr>
      <vt:lpstr>State_Cs-137+D</vt:lpstr>
      <vt:lpstr>State_Ra-226+D</vt:lpstr>
      <vt:lpstr>State_Rn-222+D</vt:lpstr>
      <vt:lpstr>Default_Am-241</vt:lpstr>
      <vt:lpstr>Default_Cs-137+D</vt:lpstr>
      <vt:lpstr>Default_Ra-226+D</vt:lpstr>
      <vt:lpstr>Default_Rn-222+D</vt:lpstr>
      <vt:lpstr>Site_Am-241</vt:lpstr>
      <vt:lpstr>Site_Cs-137+D</vt:lpstr>
      <vt:lpstr>Site_Ra-226+D</vt:lpstr>
      <vt:lpstr>Site_Rn-222+D</vt:lpstr>
      <vt:lpstr>PEF</vt:lpstr>
    </vt:vector>
  </TitlesOfParts>
  <Company>ORNL</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Debra Thomas</dc:creator>
  <cp:lastModifiedBy>Manning, Karessa L.</cp:lastModifiedBy>
  <cp:lastPrinted>2008-07-23T14:42:39Z</cp:lastPrinted>
  <dcterms:created xsi:type="dcterms:W3CDTF">2003-06-06T17:21:18Z</dcterms:created>
  <dcterms:modified xsi:type="dcterms:W3CDTF">2015-11-17T18:23:48Z</dcterms:modified>
</cp:coreProperties>
</file>